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0" windowWidth="28800" windowHeight="12240" tabRatio="227" activeTab="0"/>
  </bookViews>
  <sheets>
    <sheet name="20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'20'!$A$1:$BD$343</definedName>
    <definedName name="_xlnm.Print_Area" localSheetId="1">'ตรางสรุป'!#REF!</definedName>
    <definedName name="_xlnm.Print_Titles" localSheetId="0">'20'!$1:$6</definedName>
  </definedNames>
  <calcPr fullCalcOnLoad="1"/>
</workbook>
</file>

<file path=xl/sharedStrings.xml><?xml version="1.0" encoding="utf-8"?>
<sst xmlns="http://schemas.openxmlformats.org/spreadsheetml/2006/main" count="1216" uniqueCount="410">
  <si>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</si>
  <si>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</si>
  <si>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</si>
  <si>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</si>
  <si>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</si>
  <si>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</si>
  <si>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</si>
  <si>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</si>
  <si>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</si>
  <si>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</si>
  <si>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</si>
  <si>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</si>
  <si>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</si>
  <si>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</si>
  <si>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</si>
  <si>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</si>
  <si>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</si>
  <si>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</si>
  <si>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</si>
  <si>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</si>
  <si>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</si>
  <si>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</si>
  <si>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</si>
  <si>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</si>
  <si>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</si>
  <si>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</si>
  <si>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</si>
  <si>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</si>
  <si>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</si>
  <si>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</si>
  <si>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</si>
  <si>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</si>
  <si>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</si>
  <si>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</si>
  <si>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</si>
  <si>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</si>
  <si>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</si>
  <si>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</si>
  <si>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</si>
  <si>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</si>
  <si>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</si>
  <si>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</si>
  <si>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</si>
  <si>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</si>
  <si>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</si>
  <si>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</si>
  <si>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</si>
  <si>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</si>
  <si>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</si>
  <si>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</si>
  <si>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</si>
  <si>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</si>
  <si>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</si>
  <si>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</si>
  <si>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</si>
  <si>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</si>
  <si>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</si>
  <si>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</si>
  <si>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</si>
  <si>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</si>
  <si>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</si>
  <si>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</si>
  <si>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</si>
  <si>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</si>
  <si>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</si>
  <si>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</si>
  <si>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</si>
  <si>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</si>
  <si>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</si>
  <si>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</si>
  <si>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</si>
  <si>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</si>
  <si>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</si>
  <si>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</si>
  <si>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</si>
  <si>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</si>
  <si>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</si>
  <si>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</si>
  <si>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</si>
  <si>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</si>
  <si>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</si>
  <si>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</si>
  <si>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</si>
  <si>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</si>
  <si>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</si>
  <si>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</si>
  <si>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</si>
  <si>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</si>
  <si>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</si>
  <si>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</si>
  <si>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</si>
  <si>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</si>
  <si>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</si>
  <si>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</si>
  <si>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</si>
  <si>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</si>
  <si>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</si>
  <si>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</si>
  <si>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</si>
  <si>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</si>
  <si>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</si>
  <si>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</si>
  <si>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</si>
  <si>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</si>
  <si>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</si>
  <si>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</si>
  <si>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</si>
  <si>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</si>
  <si>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</si>
  <si>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</si>
  <si>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</si>
  <si>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</si>
  <si>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</si>
  <si>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</si>
  <si>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</si>
  <si>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</si>
  <si>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</si>
  <si>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</si>
  <si>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</si>
  <si>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</si>
  <si>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</si>
  <si>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</si>
  <si>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</si>
  <si>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</si>
  <si>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</si>
  <si>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</si>
  <si>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</si>
  <si>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</si>
  <si>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</si>
  <si>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</si>
  <si>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</si>
  <si>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</si>
  <si>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</si>
  <si>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</si>
  <si>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</si>
  <si>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</si>
  <si>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</si>
  <si>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</si>
  <si>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</si>
  <si>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</si>
  <si>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</si>
  <si>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</si>
  <si>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</si>
  <si>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</si>
  <si>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</si>
  <si>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</si>
  <si>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</si>
  <si>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</si>
  <si>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</si>
  <si>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</si>
  <si>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</si>
  <si>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</si>
  <si>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</si>
  <si>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</si>
  <si>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</si>
  <si>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</si>
  <si>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</si>
  <si>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</si>
  <si>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</si>
  <si>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</si>
  <si>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</si>
  <si>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</si>
  <si>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</si>
  <si>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</si>
  <si>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</si>
  <si>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</si>
  <si>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</si>
  <si>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</si>
  <si>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</si>
  <si>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</si>
  <si>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</si>
  <si>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</si>
  <si>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</si>
  <si>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</si>
  <si>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</si>
  <si>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</si>
  <si>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</si>
  <si>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</si>
  <si>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</si>
  <si>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</si>
  <si>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</si>
  <si>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</si>
  <si>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</si>
  <si>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</si>
  <si>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</si>
  <si>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</si>
  <si>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</si>
  <si>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</si>
  <si>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</si>
  <si>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</si>
  <si>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</si>
  <si>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</si>
  <si>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</si>
  <si>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</si>
  <si>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</si>
  <si>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</si>
  <si>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</si>
  <si>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</si>
  <si>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</si>
  <si>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</si>
  <si>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</si>
  <si>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</si>
  <si>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</si>
  <si>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</si>
  <si>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</si>
  <si>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</si>
  <si>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</si>
  <si>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</si>
  <si>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</si>
  <si>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</si>
  <si>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</si>
  <si>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</si>
  <si>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</si>
  <si>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</si>
  <si>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</si>
  <si>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</si>
  <si>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</si>
  <si>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</si>
  <si>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</si>
  <si>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</si>
  <si>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</si>
  <si>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</si>
  <si>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</si>
  <si>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</si>
  <si>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</si>
  <si>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</si>
  <si>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</si>
  <si>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</si>
  <si>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</si>
  <si>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</si>
  <si>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</si>
  <si>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</si>
  <si>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</si>
  <si>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</si>
  <si>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</si>
  <si>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</si>
  <si>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</si>
  <si>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</si>
  <si>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</si>
  <si>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</si>
  <si>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</si>
  <si>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</si>
  <si>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</si>
  <si>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</si>
  <si>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</si>
  <si>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</si>
  <si>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</si>
  <si>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</si>
  <si>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</si>
  <si>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</si>
  <si>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</si>
  <si>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</si>
  <si>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</si>
  <si>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</si>
  <si>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</si>
  <si>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</si>
  <si>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</si>
  <si>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</si>
  <si>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</si>
  <si>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</si>
  <si>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</si>
  <si>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</si>
  <si>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</si>
  <si>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</si>
  <si>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</si>
  <si>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</si>
  <si>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</si>
  <si>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</si>
  <si>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</si>
  <si>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</si>
  <si>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</si>
  <si>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</si>
  <si>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</si>
  <si>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</si>
  <si>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</si>
  <si>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</si>
  <si>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</si>
  <si>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</si>
  <si>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</si>
  <si>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</si>
  <si>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</si>
  <si>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</si>
  <si>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ปตน.ปตร.เจ้าเจ็ด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</si>
  <si>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</si>
  <si>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</si>
  <si>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</si>
  <si>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</si>
  <si>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</si>
  <si>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</si>
  <si>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</si>
  <si>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ปตร.ไม้ตรา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</si>
  <si>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</si>
  <si>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</si>
  <si>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</si>
  <si>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</si>
  <si>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</si>
  <si>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</si>
  <si>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</si>
  <si>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</si>
  <si>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</si>
  <si>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</si>
  <si>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</si>
  <si>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</si>
  <si>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</si>
  <si>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</si>
  <si>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</si>
  <si>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</si>
  <si>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</si>
  <si>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</si>
  <si>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</si>
  <si>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</si>
  <si>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</si>
  <si>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</si>
  <si>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</si>
  <si>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</si>
  <si>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</si>
  <si>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</si>
  <si>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</si>
  <si>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</si>
  <si>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</si>
  <si>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</si>
  <si>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</si>
  <si>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</si>
  <si>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</si>
  <si>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</si>
  <si>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</si>
  <si>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</si>
  <si>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</si>
  <si>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</si>
  <si>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</si>
  <si>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</si>
  <si>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</si>
  <si>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</si>
  <si>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</si>
  <si>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</si>
  <si>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</si>
  <si>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</si>
  <si>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</si>
  <si>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</si>
  <si>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</si>
  <si>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</si>
  <si>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</si>
  <si>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</si>
  <si>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</si>
  <si>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</si>
  <si>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</si>
  <si>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</si>
  <si>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</si>
  <si>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</si>
  <si>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</si>
  <si>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</si>
  <si>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</si>
  <si>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</si>
  <si>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</si>
  <si>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</si>
  <si>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</si>
  <si>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</si>
  <si>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</si>
  <si>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</si>
  <si>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</si>
  <si>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</si>
  <si>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</si>
  <si>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</si>
  <si>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</si>
  <si>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</si>
  <si>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</si>
  <si>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</si>
  <si>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</si>
  <si>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</si>
  <si>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</si>
  <si>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</si>
  <si>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</si>
  <si>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</si>
  <si>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</si>
  <si>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</si>
  <si>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</si>
  <si>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</si>
  <si>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</si>
  <si>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</si>
  <si>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</si>
  <si>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</si>
  <si>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</si>
  <si>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</si>
  <si>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</si>
  <si>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</si>
  <si>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</si>
  <si>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</si>
  <si>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.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</si>
  <si>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</si>
  <si>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</si>
  <si>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</si>
  <si>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</si>
  <si>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</si>
  <si>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</si>
  <si>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</si>
  <si>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</si>
  <si>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</si>
  <si>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</si>
  <si>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</si>
  <si>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</si>
  <si>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</si>
  <si>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</si>
  <si>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</si>
  <si>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</si>
  <si>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</si>
  <si>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</si>
  <si>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ผลการปฏิบัติการสูบน้ำ และระบายน้ำ ในเขต สชป.11 รายงาน ณ วันที่ 20 ก.ค. 60 (ข้อมูล ตั้งแต่ วันที่ 19 ก.ค. 60 วลา 06.00 น. ถึงวันที่ 20 ก.ค. 60  เวลา 06.00 น.)</t>
  </si>
  <si>
    <t>ระบายน้ำออกพื้นที่</t>
  </si>
  <si>
    <t>ระบายน้ำเข้าพื้นที่</t>
  </si>
  <si>
    <t>(ขาดคบ.ภาษีเจริญ)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</si>
</sst>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</numFmts>
  <fonts count="102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vertAlign val="superscript"/>
      <sz val="11"/>
      <color indexed="8"/>
      <name val="Tahoma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u val="single"/>
      <sz val="19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sz val="24"/>
      <color rgb="FFFF0000"/>
      <name val="Angsana New"/>
      <family val="1"/>
    </font>
    <font>
      <sz val="22"/>
      <color rgb="FFFF0000"/>
      <name val="Angsana New"/>
      <family val="1"/>
    </font>
    <font>
      <u val="single"/>
      <sz val="19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>
        <bgColor theme="2"/>
      </patternFill>
    </fill>
    <fill>
      <patternFill patternType="mediumGray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8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6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6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19" borderId="0" applyNumberFormat="0" applyBorder="0" applyAlignment="0" applyProtection="0"/>
    <xf numFmtId="0" fontId="78" fillId="19" borderId="0" applyNumberFormat="0" applyBorder="0" applyAlignment="0" applyProtection="0"/>
    <xf numFmtId="0" fontId="7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34" borderId="1" applyNumberFormat="0" applyAlignment="0" applyProtection="0"/>
    <xf numFmtId="0" fontId="3" fillId="35" borderId="2" applyNumberFormat="0" applyAlignment="0" applyProtection="0"/>
    <xf numFmtId="0" fontId="3" fillId="35" borderId="2" applyNumberFormat="0" applyAlignment="0" applyProtection="0"/>
    <xf numFmtId="0" fontId="3" fillId="35" borderId="2" applyNumberFormat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36" borderId="3" applyNumberFormat="0" applyAlignment="0" applyProtection="0"/>
    <xf numFmtId="0" fontId="7" fillId="37" borderId="4" applyNumberFormat="0" applyAlignment="0" applyProtection="0"/>
    <xf numFmtId="0" fontId="7" fillId="37" borderId="4" applyNumberFormat="0" applyAlignment="0" applyProtection="0"/>
    <xf numFmtId="0" fontId="7" fillId="37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78" fillId="0" borderId="6" applyNumberFormat="0" applyFill="0" applyAlignment="0" applyProtection="0"/>
    <xf numFmtId="0" fontId="88" fillId="3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9" fillId="39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8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91" fillId="4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7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7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7" fillId="4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7" fillId="5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7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34" borderId="9" applyNumberFormat="0" applyAlignment="0" applyProtection="0"/>
    <xf numFmtId="0" fontId="14" fillId="35" borderId="10" applyNumberFormat="0" applyAlignment="0" applyProtection="0"/>
    <xf numFmtId="0" fontId="14" fillId="35" borderId="10" applyNumberFormat="0" applyAlignment="0" applyProtection="0"/>
    <xf numFmtId="0" fontId="14" fillId="35" borderId="10" applyNumberFormat="0" applyAlignment="0" applyProtection="0"/>
    <xf numFmtId="0" fontId="0" fillId="53" borderId="11" applyNumberFormat="0" applyFont="0" applyAlignment="0" applyProtection="0"/>
    <xf numFmtId="0" fontId="0" fillId="54" borderId="12" applyNumberFormat="0" applyFont="0" applyAlignment="0" applyProtection="0"/>
    <xf numFmtId="0" fontId="0" fillId="54" borderId="12" applyNumberFormat="0" applyFont="0" applyAlignment="0" applyProtection="0"/>
    <xf numFmtId="0" fontId="0" fillId="54" borderId="12" applyNumberFormat="0" applyFont="0" applyAlignment="0" applyProtection="0"/>
    <xf numFmtId="0" fontId="93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94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95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24" fillId="0" borderId="0" xfId="1349" applyFont="1" applyFill="1" applyBorder="1" applyAlignment="1">
      <alignment horizontal="center"/>
      <protection/>
    </xf>
    <xf numFmtId="0" fontId="25" fillId="0" borderId="0" xfId="1349" applyFont="1" applyFill="1" applyAlignment="1">
      <alignment horizontal="center"/>
      <protection/>
    </xf>
    <xf numFmtId="0" fontId="26" fillId="0" borderId="0" xfId="1349" applyFont="1" applyFill="1" applyAlignment="1">
      <alignment horizontal="center"/>
      <protection/>
    </xf>
    <xf numFmtId="0" fontId="27" fillId="0" borderId="0" xfId="1349" applyFont="1" applyFill="1" applyBorder="1" applyAlignment="1">
      <alignment horizontal="center"/>
      <protection/>
    </xf>
    <xf numFmtId="4" fontId="27" fillId="0" borderId="0" xfId="1349" applyNumberFormat="1" applyFont="1" applyFill="1" applyBorder="1" applyAlignment="1">
      <alignment horizontal="center"/>
      <protection/>
    </xf>
    <xf numFmtId="3" fontId="27" fillId="0" borderId="0" xfId="1349" applyNumberFormat="1" applyFont="1" applyFill="1" applyBorder="1" applyAlignment="1">
      <alignment horizontal="center"/>
      <protection/>
    </xf>
    <xf numFmtId="0" fontId="27" fillId="0" borderId="0" xfId="1349" applyFont="1" applyFill="1" applyBorder="1" applyAlignment="1">
      <alignment horizontal="center" vertical="center"/>
      <protection/>
    </xf>
    <xf numFmtId="0" fontId="27" fillId="0" borderId="0" xfId="1349" applyFont="1" applyFill="1" applyBorder="1" applyAlignment="1">
      <alignment/>
      <protection/>
    </xf>
    <xf numFmtId="4" fontId="28" fillId="0" borderId="0" xfId="1349" applyNumberFormat="1" applyFont="1" applyFill="1" applyBorder="1" applyAlignment="1">
      <alignment horizontal="center"/>
      <protection/>
    </xf>
    <xf numFmtId="0" fontId="28" fillId="0" borderId="0" xfId="1349" applyFont="1" applyFill="1" applyAlignment="1">
      <alignment horizontal="center"/>
      <protection/>
    </xf>
    <xf numFmtId="0" fontId="29" fillId="0" borderId="0" xfId="1349" applyFont="1" applyFill="1" applyAlignment="1">
      <alignment horizontal="center"/>
      <protection/>
    </xf>
    <xf numFmtId="4" fontId="30" fillId="54" borderId="19" xfId="1349" applyNumberFormat="1" applyFont="1" applyFill="1" applyBorder="1" applyAlignment="1">
      <alignment horizontal="center"/>
      <protection/>
    </xf>
    <xf numFmtId="0" fontId="32" fillId="0" borderId="0" xfId="1349" applyFont="1" applyFill="1" applyAlignment="1">
      <alignment horizontal="center"/>
      <protection/>
    </xf>
    <xf numFmtId="4" fontId="30" fillId="54" borderId="20" xfId="1349" applyNumberFormat="1" applyFont="1" applyFill="1" applyBorder="1" applyAlignment="1">
      <alignment horizontal="center"/>
      <protection/>
    </xf>
    <xf numFmtId="4" fontId="30" fillId="55" borderId="19" xfId="1349" applyNumberFormat="1" applyFont="1" applyFill="1" applyBorder="1" applyAlignment="1">
      <alignment horizontal="center" vertical="center"/>
      <protection/>
    </xf>
    <xf numFmtId="4" fontId="30" fillId="56" borderId="19" xfId="1349" applyNumberFormat="1" applyFont="1" applyFill="1" applyBorder="1" applyAlignment="1">
      <alignment horizontal="center" vertical="center"/>
      <protection/>
    </xf>
    <xf numFmtId="3" fontId="30" fillId="7" borderId="19" xfId="1349" applyNumberFormat="1" applyFont="1" applyFill="1" applyBorder="1" applyAlignment="1">
      <alignment horizontal="center"/>
      <protection/>
    </xf>
    <xf numFmtId="4" fontId="30" fillId="7" borderId="19" xfId="1349" applyNumberFormat="1" applyFont="1" applyFill="1" applyBorder="1" applyAlignment="1">
      <alignment horizontal="center"/>
      <protection/>
    </xf>
    <xf numFmtId="0" fontId="30" fillId="7" borderId="19" xfId="1349" applyFont="1" applyFill="1" applyBorder="1" applyAlignment="1">
      <alignment horizontal="center"/>
      <protection/>
    </xf>
    <xf numFmtId="0" fontId="30" fillId="7" borderId="19" xfId="1349" applyFont="1" applyFill="1" applyBorder="1" applyAlignment="1">
      <alignment horizontal="center" vertical="center"/>
      <protection/>
    </xf>
    <xf numFmtId="0" fontId="30" fillId="5" borderId="19" xfId="1349" applyFont="1" applyFill="1" applyBorder="1" applyAlignment="1">
      <alignment horizontal="center"/>
      <protection/>
    </xf>
    <xf numFmtId="4" fontId="30" fillId="57" borderId="19" xfId="1349" applyNumberFormat="1" applyFont="1" applyFill="1" applyBorder="1" applyAlignment="1">
      <alignment horizontal="center"/>
      <protection/>
    </xf>
    <xf numFmtId="0" fontId="30" fillId="57" borderId="19" xfId="1349" applyFont="1" applyFill="1" applyBorder="1" applyAlignment="1">
      <alignment horizontal="center"/>
      <protection/>
    </xf>
    <xf numFmtId="4" fontId="32" fillId="57" borderId="19" xfId="1349" applyNumberFormat="1" applyFont="1" applyFill="1" applyBorder="1" applyAlignment="1">
      <alignment horizontal="center"/>
      <protection/>
    </xf>
    <xf numFmtId="4" fontId="34" fillId="57" borderId="19" xfId="1349" applyNumberFormat="1" applyFont="1" applyFill="1" applyBorder="1" applyAlignment="1">
      <alignment horizontal="center"/>
      <protection/>
    </xf>
    <xf numFmtId="4" fontId="30" fillId="55" borderId="21" xfId="1349" applyNumberFormat="1" applyFont="1" applyFill="1" applyBorder="1" applyAlignment="1">
      <alignment horizontal="center" vertical="center"/>
      <protection/>
    </xf>
    <xf numFmtId="4" fontId="30" fillId="56" borderId="21" xfId="1349" applyNumberFormat="1" applyFont="1" applyFill="1" applyBorder="1" applyAlignment="1">
      <alignment horizontal="center" vertical="center"/>
      <protection/>
    </xf>
    <xf numFmtId="3" fontId="30" fillId="7" borderId="21" xfId="1349" applyNumberFormat="1" applyFont="1" applyFill="1" applyBorder="1" applyAlignment="1">
      <alignment horizontal="center"/>
      <protection/>
    </xf>
    <xf numFmtId="4" fontId="30" fillId="7" borderId="21" xfId="1349" applyNumberFormat="1" applyFont="1" applyFill="1" applyBorder="1" applyAlignment="1">
      <alignment horizontal="center"/>
      <protection/>
    </xf>
    <xf numFmtId="0" fontId="30" fillId="7" borderId="21" xfId="1349" applyFont="1" applyFill="1" applyBorder="1" applyAlignment="1">
      <alignment horizontal="center"/>
      <protection/>
    </xf>
    <xf numFmtId="0" fontId="30" fillId="7" borderId="21" xfId="1349" applyFont="1" applyFill="1" applyBorder="1" applyAlignment="1">
      <alignment horizontal="center" vertical="center"/>
      <protection/>
    </xf>
    <xf numFmtId="0" fontId="30" fillId="5" borderId="21" xfId="1349" applyFont="1" applyFill="1" applyBorder="1" applyAlignment="1">
      <alignment horizontal="center"/>
      <protection/>
    </xf>
    <xf numFmtId="4" fontId="30" fillId="5" borderId="21" xfId="1349" applyNumberFormat="1" applyFont="1" applyFill="1" applyBorder="1" applyAlignment="1">
      <alignment horizontal="center"/>
      <protection/>
    </xf>
    <xf numFmtId="4" fontId="30" fillId="57" borderId="21" xfId="1349" applyNumberFormat="1" applyFont="1" applyFill="1" applyBorder="1" applyAlignment="1">
      <alignment horizontal="center"/>
      <protection/>
    </xf>
    <xf numFmtId="4" fontId="30" fillId="54" borderId="21" xfId="1349" applyNumberFormat="1" applyFont="1" applyFill="1" applyBorder="1" applyAlignment="1">
      <alignment horizontal="center"/>
      <protection/>
    </xf>
    <xf numFmtId="4" fontId="32" fillId="57" borderId="21" xfId="1349" applyNumberFormat="1" applyFont="1" applyFill="1" applyBorder="1" applyAlignment="1">
      <alignment horizontal="center"/>
      <protection/>
    </xf>
    <xf numFmtId="0" fontId="35" fillId="13" borderId="22" xfId="1349" applyFont="1" applyFill="1" applyBorder="1" applyAlignment="1">
      <alignment horizontal="left" vertical="center"/>
      <protection/>
    </xf>
    <xf numFmtId="0" fontId="36" fillId="13" borderId="22" xfId="1349" applyFont="1" applyFill="1" applyBorder="1" applyAlignment="1">
      <alignment horizontal="center" vertical="center" wrapText="1"/>
      <protection/>
    </xf>
    <xf numFmtId="0" fontId="36" fillId="13" borderId="22" xfId="1349" applyFont="1" applyFill="1" applyBorder="1" applyAlignment="1">
      <alignment horizontal="center" vertical="center"/>
      <protection/>
    </xf>
    <xf numFmtId="4" fontId="36" fillId="13" borderId="22" xfId="1349" applyNumberFormat="1" applyFont="1" applyFill="1" applyBorder="1" applyAlignment="1">
      <alignment horizontal="center" vertical="center"/>
      <protection/>
    </xf>
    <xf numFmtId="3" fontId="36" fillId="13" borderId="22" xfId="1349" applyNumberFormat="1" applyFont="1" applyFill="1" applyBorder="1" applyAlignment="1">
      <alignment horizontal="center"/>
      <protection/>
    </xf>
    <xf numFmtId="4" fontId="36" fillId="13" borderId="22" xfId="1349" applyNumberFormat="1" applyFont="1" applyFill="1" applyBorder="1" applyAlignment="1">
      <alignment horizontal="center"/>
      <protection/>
    </xf>
    <xf numFmtId="0" fontId="36" fillId="13" borderId="22" xfId="1349" applyFont="1" applyFill="1" applyBorder="1" applyAlignment="1">
      <alignment horizontal="center"/>
      <protection/>
    </xf>
    <xf numFmtId="203" fontId="36" fillId="13" borderId="22" xfId="1221" applyNumberFormat="1" applyFont="1" applyFill="1" applyBorder="1" applyAlignment="1">
      <alignment horizontal="center" vertical="center"/>
    </xf>
    <xf numFmtId="2" fontId="36" fillId="13" borderId="22" xfId="1349" applyNumberFormat="1" applyFont="1" applyFill="1" applyBorder="1" applyAlignment="1">
      <alignment horizontal="center"/>
      <protection/>
    </xf>
    <xf numFmtId="1" fontId="36" fillId="13" borderId="22" xfId="1349" applyNumberFormat="1" applyFont="1" applyFill="1" applyBorder="1" applyAlignment="1">
      <alignment horizontal="center"/>
      <protection/>
    </xf>
    <xf numFmtId="203" fontId="36" fillId="13" borderId="22" xfId="1221" applyNumberFormat="1" applyFont="1" applyFill="1" applyBorder="1" applyAlignment="1">
      <alignment horizontal="center"/>
    </xf>
    <xf numFmtId="2" fontId="37" fillId="13" borderId="22" xfId="1349" applyNumberFormat="1" applyFont="1" applyFill="1" applyBorder="1" applyAlignment="1">
      <alignment horizontal="center"/>
      <protection/>
    </xf>
    <xf numFmtId="0" fontId="36" fillId="13" borderId="23" xfId="1349" applyFont="1" applyFill="1" applyBorder="1" applyAlignment="1">
      <alignment horizontal="center" vertical="center"/>
      <protection/>
    </xf>
    <xf numFmtId="2" fontId="36" fillId="0" borderId="0" xfId="1349" applyNumberFormat="1" applyFont="1" applyFill="1" applyAlignment="1">
      <alignment horizontal="center"/>
      <protection/>
    </xf>
    <xf numFmtId="2" fontId="38" fillId="0" borderId="0" xfId="1349" applyNumberFormat="1" applyFont="1" applyFill="1" applyAlignment="1">
      <alignment horizontal="center"/>
      <protection/>
    </xf>
    <xf numFmtId="0" fontId="38" fillId="0" borderId="0" xfId="1349" applyFont="1" applyFill="1" applyAlignment="1">
      <alignment horizontal="center"/>
      <protection/>
    </xf>
    <xf numFmtId="0" fontId="36" fillId="0" borderId="0" xfId="1349" applyFont="1" applyFill="1" applyAlignment="1">
      <alignment horizontal="center"/>
      <protection/>
    </xf>
    <xf numFmtId="0" fontId="35" fillId="58" borderId="22" xfId="1349" applyFont="1" applyFill="1" applyBorder="1" applyAlignment="1">
      <alignment horizontal="left" vertical="center"/>
      <protection/>
    </xf>
    <xf numFmtId="0" fontId="36" fillId="58" borderId="22" xfId="1349" applyFont="1" applyFill="1" applyBorder="1" applyAlignment="1">
      <alignment horizontal="center" vertical="center" wrapText="1"/>
      <protection/>
    </xf>
    <xf numFmtId="0" fontId="36" fillId="58" borderId="22" xfId="1349" applyFont="1" applyFill="1" applyBorder="1" applyAlignment="1">
      <alignment horizontal="center" vertical="center"/>
      <protection/>
    </xf>
    <xf numFmtId="4" fontId="36" fillId="58" borderId="22" xfId="1349" applyNumberFormat="1" applyFont="1" applyFill="1" applyBorder="1" applyAlignment="1">
      <alignment horizontal="center" vertical="center"/>
      <protection/>
    </xf>
    <xf numFmtId="3" fontId="36" fillId="58" borderId="22" xfId="1349" applyNumberFormat="1" applyFont="1" applyFill="1" applyBorder="1" applyAlignment="1">
      <alignment horizontal="center"/>
      <protection/>
    </xf>
    <xf numFmtId="4" fontId="36" fillId="58" borderId="22" xfId="1349" applyNumberFormat="1" applyFont="1" applyFill="1" applyBorder="1" applyAlignment="1">
      <alignment horizontal="center"/>
      <protection/>
    </xf>
    <xf numFmtId="0" fontId="36" fillId="58" borderId="22" xfId="1349" applyFont="1" applyFill="1" applyBorder="1" applyAlignment="1">
      <alignment horizontal="center"/>
      <protection/>
    </xf>
    <xf numFmtId="203" fontId="36" fillId="58" borderId="22" xfId="1221" applyNumberFormat="1" applyFont="1" applyFill="1" applyBorder="1" applyAlignment="1">
      <alignment horizontal="center" vertical="center"/>
    </xf>
    <xf numFmtId="2" fontId="36" fillId="58" borderId="22" xfId="1349" applyNumberFormat="1" applyFont="1" applyFill="1" applyBorder="1" applyAlignment="1">
      <alignment horizontal="center"/>
      <protection/>
    </xf>
    <xf numFmtId="1" fontId="36" fillId="58" borderId="22" xfId="1349" applyNumberFormat="1" applyFont="1" applyFill="1" applyBorder="1" applyAlignment="1">
      <alignment horizontal="center"/>
      <protection/>
    </xf>
    <xf numFmtId="203" fontId="36" fillId="58" borderId="22" xfId="1221" applyNumberFormat="1" applyFont="1" applyFill="1" applyBorder="1" applyAlignment="1">
      <alignment horizontal="center"/>
    </xf>
    <xf numFmtId="2" fontId="37" fillId="58" borderId="22" xfId="1349" applyNumberFormat="1" applyFont="1" applyFill="1" applyBorder="1" applyAlignment="1">
      <alignment horizontal="center"/>
      <protection/>
    </xf>
    <xf numFmtId="0" fontId="36" fillId="23" borderId="23" xfId="1349" applyFont="1" applyFill="1" applyBorder="1" applyAlignment="1">
      <alignment horizontal="center" vertical="center"/>
      <protection/>
    </xf>
    <xf numFmtId="0" fontId="39" fillId="0" borderId="0" xfId="1349" applyFont="1" applyFill="1" applyAlignment="1">
      <alignment horizontal="center"/>
      <protection/>
    </xf>
    <xf numFmtId="4" fontId="36" fillId="41" borderId="22" xfId="1349" applyNumberFormat="1" applyFont="1" applyFill="1" applyBorder="1" applyAlignment="1">
      <alignment horizontal="center"/>
      <protection/>
    </xf>
    <xf numFmtId="0" fontId="36" fillId="41" borderId="22" xfId="1349" applyFont="1" applyFill="1" applyBorder="1" applyAlignment="1">
      <alignment horizontal="center"/>
      <protection/>
    </xf>
    <xf numFmtId="0" fontId="32" fillId="59" borderId="22" xfId="1349" applyFont="1" applyFill="1" applyBorder="1" applyAlignment="1">
      <alignment horizontal="center" vertical="center"/>
      <protection/>
    </xf>
    <xf numFmtId="4" fontId="32" fillId="59" borderId="22" xfId="1349" applyNumberFormat="1" applyFont="1" applyFill="1" applyBorder="1" applyAlignment="1">
      <alignment horizontal="center" vertical="center"/>
      <protection/>
    </xf>
    <xf numFmtId="3" fontId="32" fillId="59" borderId="22" xfId="1349" applyNumberFormat="1" applyFont="1" applyFill="1" applyBorder="1" applyAlignment="1">
      <alignment horizontal="center"/>
      <protection/>
    </xf>
    <xf numFmtId="4" fontId="32" fillId="59" borderId="22" xfId="1349" applyNumberFormat="1" applyFont="1" applyFill="1" applyBorder="1" applyAlignment="1">
      <alignment horizontal="center"/>
      <protection/>
    </xf>
    <xf numFmtId="0" fontId="32" fillId="59" borderId="22" xfId="1349" applyFont="1" applyFill="1" applyBorder="1" applyAlignment="1">
      <alignment horizontal="center"/>
      <protection/>
    </xf>
    <xf numFmtId="203" fontId="32" fillId="59" borderId="22" xfId="1221" applyNumberFormat="1" applyFont="1" applyFill="1" applyBorder="1" applyAlignment="1">
      <alignment horizontal="center" vertical="center"/>
    </xf>
    <xf numFmtId="2" fontId="36" fillId="59" borderId="22" xfId="1349" applyNumberFormat="1" applyFont="1" applyFill="1" applyBorder="1" applyAlignment="1">
      <alignment horizontal="center"/>
      <protection/>
    </xf>
    <xf numFmtId="204" fontId="36" fillId="59" borderId="22" xfId="1349" applyNumberFormat="1" applyFont="1" applyFill="1" applyBorder="1" applyAlignment="1">
      <alignment horizontal="center"/>
      <protection/>
    </xf>
    <xf numFmtId="203" fontId="32" fillId="59" borderId="22" xfId="1221" applyNumberFormat="1" applyFont="1" applyFill="1" applyBorder="1" applyAlignment="1">
      <alignment horizontal="center"/>
    </xf>
    <xf numFmtId="1" fontId="36" fillId="59" borderId="22" xfId="1349" applyNumberFormat="1" applyFont="1" applyFill="1" applyBorder="1" applyAlignment="1">
      <alignment horizontal="center"/>
      <protection/>
    </xf>
    <xf numFmtId="0" fontId="36" fillId="59" borderId="22" xfId="1349" applyFont="1" applyFill="1" applyBorder="1" applyAlignment="1">
      <alignment horizontal="center"/>
      <protection/>
    </xf>
    <xf numFmtId="2" fontId="37" fillId="4" borderId="22" xfId="1349" applyNumberFormat="1" applyFont="1" applyFill="1" applyBorder="1" applyAlignment="1">
      <alignment horizontal="center"/>
      <protection/>
    </xf>
    <xf numFmtId="0" fontId="32" fillId="0" borderId="23" xfId="1349" applyFont="1" applyFill="1" applyBorder="1" applyAlignment="1">
      <alignment horizontal="center" vertical="center"/>
      <protection/>
    </xf>
    <xf numFmtId="2" fontId="32" fillId="0" borderId="0" xfId="1349" applyNumberFormat="1" applyFont="1" applyFill="1" applyAlignment="1">
      <alignment horizontal="center"/>
      <protection/>
    </xf>
    <xf numFmtId="0" fontId="32" fillId="0" borderId="24" xfId="1349" applyFont="1" applyFill="1" applyBorder="1" applyAlignment="1">
      <alignment horizontal="center"/>
      <protection/>
    </xf>
    <xf numFmtId="4" fontId="32" fillId="0" borderId="22" xfId="1349" applyNumberFormat="1" applyFont="1" applyFill="1" applyBorder="1" applyAlignment="1">
      <alignment horizontal="center"/>
      <protection/>
    </xf>
    <xf numFmtId="0" fontId="36" fillId="0" borderId="22" xfId="1349" applyFont="1" applyFill="1" applyBorder="1" applyAlignment="1">
      <alignment horizontal="center"/>
      <protection/>
    </xf>
    <xf numFmtId="0" fontId="41" fillId="0" borderId="22" xfId="1349" applyFont="1" applyFill="1" applyBorder="1" applyAlignment="1">
      <alignment horizontal="left"/>
      <protection/>
    </xf>
    <xf numFmtId="0" fontId="42" fillId="0" borderId="22" xfId="1349" applyFont="1" applyFill="1" applyBorder="1" applyAlignment="1">
      <alignment horizontal="center" vertical="center"/>
      <protection/>
    </xf>
    <xf numFmtId="4" fontId="28" fillId="0" borderId="22" xfId="1349" applyNumberFormat="1" applyFont="1" applyFill="1" applyBorder="1" applyAlignment="1">
      <alignment horizontal="center" vertical="center"/>
      <protection/>
    </xf>
    <xf numFmtId="1" fontId="42" fillId="60" borderId="22" xfId="1349" applyNumberFormat="1" applyFont="1" applyFill="1" applyBorder="1" applyAlignment="1">
      <alignment horizontal="center" vertical="center"/>
      <protection/>
    </xf>
    <xf numFmtId="2" fontId="42" fillId="60" borderId="22" xfId="1349" applyNumberFormat="1" applyFont="1" applyFill="1" applyBorder="1" applyAlignment="1">
      <alignment horizontal="center" vertical="center"/>
      <protection/>
    </xf>
    <xf numFmtId="2" fontId="42" fillId="0" borderId="22" xfId="1349" applyNumberFormat="1" applyFont="1" applyFill="1" applyBorder="1" applyAlignment="1">
      <alignment horizontal="center" vertical="center"/>
      <protection/>
    </xf>
    <xf numFmtId="2" fontId="42" fillId="6" borderId="22" xfId="1221" applyNumberFormat="1" applyFont="1" applyFill="1" applyBorder="1" applyAlignment="1">
      <alignment horizontal="center" vertical="center"/>
    </xf>
    <xf numFmtId="1" fontId="42" fillId="6" borderId="22" xfId="1349" applyNumberFormat="1" applyFont="1" applyFill="1" applyBorder="1" applyAlignment="1">
      <alignment horizontal="center" vertical="center"/>
      <protection/>
    </xf>
    <xf numFmtId="2" fontId="43" fillId="0" borderId="22" xfId="1349" applyNumberFormat="1" applyFont="1" applyFill="1" applyBorder="1" applyAlignment="1">
      <alignment horizontal="center" vertical="center"/>
      <protection/>
    </xf>
    <xf numFmtId="2" fontId="42" fillId="61" borderId="22" xfId="1349" applyNumberFormat="1" applyFont="1" applyFill="1" applyBorder="1" applyAlignment="1">
      <alignment horizontal="center" vertical="center"/>
      <protection/>
    </xf>
    <xf numFmtId="1" fontId="42" fillId="61" borderId="22" xfId="1349" applyNumberFormat="1" applyFont="1" applyFill="1" applyBorder="1" applyAlignment="1">
      <alignment horizontal="center" vertical="center"/>
      <protection/>
    </xf>
    <xf numFmtId="43" fontId="42" fillId="0" borderId="22" xfId="1221" applyFont="1" applyFill="1" applyBorder="1" applyAlignment="1">
      <alignment horizontal="center" vertical="center"/>
    </xf>
    <xf numFmtId="4" fontId="43" fillId="58" borderId="22" xfId="1349" applyNumberFormat="1" applyFont="1" applyFill="1" applyBorder="1" applyAlignment="1">
      <alignment horizontal="center" vertical="center"/>
      <protection/>
    </xf>
    <xf numFmtId="4" fontId="96" fillId="0" borderId="22" xfId="1349" applyNumberFormat="1" applyFont="1" applyFill="1" applyBorder="1" applyAlignment="1">
      <alignment horizontal="center" vertical="center"/>
      <protection/>
    </xf>
    <xf numFmtId="0" fontId="42" fillId="0" borderId="25" xfId="1349" applyFont="1" applyFill="1" applyBorder="1" applyAlignment="1">
      <alignment horizontal="center"/>
      <protection/>
    </xf>
    <xf numFmtId="0" fontId="42" fillId="0" borderId="0" xfId="1349" applyFont="1" applyFill="1" applyAlignment="1">
      <alignment horizontal="center"/>
      <protection/>
    </xf>
    <xf numFmtId="0" fontId="42" fillId="0" borderId="0" xfId="1349" applyFont="1" applyFill="1" applyBorder="1" applyAlignment="1">
      <alignment horizontal="center"/>
      <protection/>
    </xf>
    <xf numFmtId="0" fontId="42" fillId="0" borderId="26" xfId="1349" applyFont="1" applyFill="1" applyBorder="1" applyAlignment="1">
      <alignment horizontal="center"/>
      <protection/>
    </xf>
    <xf numFmtId="2" fontId="42" fillId="0" borderId="22" xfId="1349" applyNumberFormat="1" applyFont="1" applyFill="1" applyBorder="1" applyAlignment="1">
      <alignment horizontal="center"/>
      <protection/>
    </xf>
    <xf numFmtId="1" fontId="42" fillId="0" borderId="22" xfId="1349" applyNumberFormat="1" applyFont="1" applyFill="1" applyBorder="1" applyAlignment="1">
      <alignment horizontal="center"/>
      <protection/>
    </xf>
    <xf numFmtId="2" fontId="42" fillId="0" borderId="22" xfId="1221" applyNumberFormat="1" applyFont="1" applyFill="1" applyBorder="1" applyAlignment="1">
      <alignment horizontal="center" vertical="center"/>
    </xf>
    <xf numFmtId="0" fontId="42" fillId="62" borderId="22" xfId="1349" applyFont="1" applyFill="1" applyBorder="1" applyAlignment="1">
      <alignment horizontal="center" vertical="center"/>
      <protection/>
    </xf>
    <xf numFmtId="203" fontId="42" fillId="0" borderId="22" xfId="1221" applyNumberFormat="1" applyFont="1" applyFill="1" applyBorder="1" applyAlignment="1">
      <alignment horizontal="center" vertical="center"/>
    </xf>
    <xf numFmtId="4" fontId="42" fillId="0" borderId="22" xfId="1349" applyNumberFormat="1" applyFont="1" applyFill="1" applyBorder="1" applyAlignment="1">
      <alignment horizontal="center" vertical="center"/>
      <protection/>
    </xf>
    <xf numFmtId="0" fontId="42" fillId="0" borderId="27" xfId="1349" applyFont="1" applyFill="1" applyBorder="1" applyAlignment="1">
      <alignment horizontal="left"/>
      <protection/>
    </xf>
    <xf numFmtId="0" fontId="42" fillId="0" borderId="0" xfId="1349" applyFont="1" applyFill="1" applyBorder="1" applyAlignment="1">
      <alignment horizontal="left"/>
      <protection/>
    </xf>
    <xf numFmtId="0" fontId="42" fillId="0" borderId="28" xfId="1349" applyFont="1" applyFill="1" applyBorder="1" applyAlignment="1">
      <alignment horizontal="center"/>
      <protection/>
    </xf>
    <xf numFmtId="4" fontId="42" fillId="0" borderId="0" xfId="1349" applyNumberFormat="1" applyFont="1" applyFill="1" applyAlignment="1">
      <alignment horizontal="center"/>
      <protection/>
    </xf>
    <xf numFmtId="3" fontId="42" fillId="0" borderId="0" xfId="1349" applyNumberFormat="1" applyFont="1" applyFill="1" applyBorder="1" applyAlignment="1">
      <alignment horizontal="center"/>
      <protection/>
    </xf>
    <xf numFmtId="0" fontId="43" fillId="0" borderId="29" xfId="1349" applyFont="1" applyFill="1" applyBorder="1" applyAlignment="1">
      <alignment horizontal="center"/>
      <protection/>
    </xf>
    <xf numFmtId="0" fontId="43" fillId="0" borderId="30" xfId="1349" applyFont="1" applyFill="1" applyBorder="1" applyAlignment="1">
      <alignment horizontal="center"/>
      <protection/>
    </xf>
    <xf numFmtId="0" fontId="43" fillId="0" borderId="0" xfId="1349" applyFont="1" applyFill="1" applyAlignment="1">
      <alignment horizontal="center"/>
      <protection/>
    </xf>
    <xf numFmtId="0" fontId="43" fillId="57" borderId="27" xfId="1349" applyFont="1" applyFill="1" applyBorder="1" applyAlignment="1">
      <alignment horizontal="left" vertical="center"/>
      <protection/>
    </xf>
    <xf numFmtId="0" fontId="43" fillId="57" borderId="0" xfId="1349" applyFont="1" applyFill="1" applyBorder="1" applyAlignment="1">
      <alignment horizontal="left" vertical="center"/>
      <protection/>
    </xf>
    <xf numFmtId="4" fontId="43" fillId="57" borderId="0" xfId="1349" applyNumberFormat="1" applyFont="1" applyFill="1" applyBorder="1" applyAlignment="1">
      <alignment horizontal="center"/>
      <protection/>
    </xf>
    <xf numFmtId="0" fontId="43" fillId="57" borderId="26" xfId="1349" applyFont="1" applyFill="1" applyBorder="1" applyAlignment="1">
      <alignment horizontal="center"/>
      <protection/>
    </xf>
    <xf numFmtId="2" fontId="42" fillId="57" borderId="22" xfId="1349" applyNumberFormat="1" applyFont="1" applyFill="1" applyBorder="1" applyAlignment="1">
      <alignment horizontal="center"/>
      <protection/>
    </xf>
    <xf numFmtId="1" fontId="42" fillId="57" borderId="22" xfId="1349" applyNumberFormat="1" applyFont="1" applyFill="1" applyBorder="1" applyAlignment="1">
      <alignment horizontal="center"/>
      <protection/>
    </xf>
    <xf numFmtId="0" fontId="42" fillId="0" borderId="27" xfId="1349" applyFont="1" applyFill="1" applyBorder="1" applyAlignment="1">
      <alignment horizontal="center"/>
      <protection/>
    </xf>
    <xf numFmtId="2" fontId="43" fillId="0" borderId="22" xfId="1349" applyNumberFormat="1" applyFont="1" applyFill="1" applyBorder="1" applyAlignment="1">
      <alignment horizontal="center"/>
      <protection/>
    </xf>
    <xf numFmtId="3" fontId="42" fillId="0" borderId="22" xfId="1349" applyNumberFormat="1" applyFont="1" applyFill="1" applyBorder="1" applyAlignment="1">
      <alignment horizontal="center"/>
      <protection/>
    </xf>
    <xf numFmtId="43" fontId="42" fillId="0" borderId="22" xfId="1221" applyNumberFormat="1" applyFont="1" applyFill="1" applyBorder="1" applyAlignment="1">
      <alignment horizontal="center" vertical="center"/>
    </xf>
    <xf numFmtId="4" fontId="42" fillId="62" borderId="0" xfId="1349" applyNumberFormat="1" applyFont="1" applyFill="1" applyAlignment="1">
      <alignment horizontal="center"/>
      <protection/>
    </xf>
    <xf numFmtId="1" fontId="42" fillId="0" borderId="22" xfId="1349" applyNumberFormat="1" applyFont="1" applyFill="1" applyBorder="1" applyAlignment="1">
      <alignment horizontal="center" vertical="center"/>
      <protection/>
    </xf>
    <xf numFmtId="2" fontId="42" fillId="6" borderId="22" xfId="1349" applyNumberFormat="1" applyFont="1" applyFill="1" applyBorder="1" applyAlignment="1">
      <alignment horizontal="center" vertical="center"/>
      <protection/>
    </xf>
    <xf numFmtId="43" fontId="42" fillId="0" borderId="0" xfId="1221" applyFont="1" applyFill="1" applyAlignment="1">
      <alignment horizontal="center"/>
    </xf>
    <xf numFmtId="0" fontId="42" fillId="0" borderId="0" xfId="1349" applyNumberFormat="1" applyFont="1" applyFill="1" applyBorder="1" applyAlignment="1">
      <alignment horizontal="center"/>
      <protection/>
    </xf>
    <xf numFmtId="0" fontId="42" fillId="0" borderId="29" xfId="1349" applyFont="1" applyFill="1" applyBorder="1" applyAlignment="1">
      <alignment horizontal="center"/>
      <protection/>
    </xf>
    <xf numFmtId="0" fontId="42" fillId="0" borderId="30" xfId="1349" applyFont="1" applyFill="1" applyBorder="1" applyAlignment="1">
      <alignment horizontal="center"/>
      <protection/>
    </xf>
    <xf numFmtId="0" fontId="42" fillId="57" borderId="22" xfId="1349" applyFont="1" applyFill="1" applyBorder="1" applyAlignment="1">
      <alignment horizontal="center" vertical="center"/>
      <protection/>
    </xf>
    <xf numFmtId="43" fontId="28" fillId="57" borderId="22" xfId="1221" applyFont="1" applyFill="1" applyBorder="1" applyAlignment="1">
      <alignment horizontal="center" vertical="center"/>
    </xf>
    <xf numFmtId="2" fontId="42" fillId="57" borderId="22" xfId="1221" applyNumberFormat="1" applyFont="1" applyFill="1" applyBorder="1" applyAlignment="1">
      <alignment horizontal="center" vertical="center"/>
    </xf>
    <xf numFmtId="2" fontId="43" fillId="61" borderId="22" xfId="1349" applyNumberFormat="1" applyFont="1" applyFill="1" applyBorder="1" applyAlignment="1">
      <alignment horizontal="center" vertical="center"/>
      <protection/>
    </xf>
    <xf numFmtId="3" fontId="42" fillId="0" borderId="22" xfId="1349" applyNumberFormat="1" applyFont="1" applyFill="1" applyBorder="1" applyAlignment="1">
      <alignment horizontal="center" vertical="center"/>
      <protection/>
    </xf>
    <xf numFmtId="2" fontId="42" fillId="57" borderId="22" xfId="1349" applyNumberFormat="1" applyFont="1" applyFill="1" applyBorder="1" applyAlignment="1">
      <alignment horizontal="center" vertical="center"/>
      <protection/>
    </xf>
    <xf numFmtId="0" fontId="43" fillId="57" borderId="28" xfId="1349" applyFont="1" applyFill="1" applyBorder="1" applyAlignment="1">
      <alignment horizontal="left" vertical="center"/>
      <protection/>
    </xf>
    <xf numFmtId="0" fontId="43" fillId="57" borderId="29" xfId="1349" applyFont="1" applyFill="1" applyBorder="1" applyAlignment="1">
      <alignment horizontal="left" vertical="center"/>
      <protection/>
    </xf>
    <xf numFmtId="4" fontId="43" fillId="57" borderId="29" xfId="1349" applyNumberFormat="1" applyFont="1" applyFill="1" applyBorder="1" applyAlignment="1">
      <alignment horizontal="center"/>
      <protection/>
    </xf>
    <xf numFmtId="0" fontId="43" fillId="57" borderId="31" xfId="1349" applyFont="1" applyFill="1" applyBorder="1" applyAlignment="1">
      <alignment horizontal="center"/>
      <protection/>
    </xf>
    <xf numFmtId="1" fontId="42" fillId="6" borderId="22" xfId="1221" applyNumberFormat="1" applyFont="1" applyFill="1" applyBorder="1" applyAlignment="1">
      <alignment horizontal="center" vertical="center"/>
    </xf>
    <xf numFmtId="0" fontId="42" fillId="0" borderId="24" xfId="1349" applyFont="1" applyFill="1" applyBorder="1" applyAlignment="1">
      <alignment horizontal="center"/>
      <protection/>
    </xf>
    <xf numFmtId="0" fontId="42" fillId="0" borderId="32" xfId="1349" applyFont="1" applyFill="1" applyBorder="1" applyAlignment="1">
      <alignment horizontal="center"/>
      <protection/>
    </xf>
    <xf numFmtId="1" fontId="42" fillId="0" borderId="0" xfId="1349" applyNumberFormat="1" applyFont="1" applyFill="1" applyBorder="1" applyAlignment="1">
      <alignment horizontal="center"/>
      <protection/>
    </xf>
    <xf numFmtId="0" fontId="42" fillId="0" borderId="33" xfId="1349" applyFont="1" applyFill="1" applyBorder="1" applyAlignment="1">
      <alignment horizontal="center"/>
      <protection/>
    </xf>
    <xf numFmtId="2" fontId="28" fillId="0" borderId="22" xfId="1349" applyNumberFormat="1" applyFont="1" applyFill="1" applyBorder="1" applyAlignment="1">
      <alignment horizontal="center" vertical="center"/>
      <protection/>
    </xf>
    <xf numFmtId="1" fontId="42" fillId="60" borderId="22" xfId="1349" applyNumberFormat="1" applyFont="1" applyFill="1" applyBorder="1" applyAlignment="1">
      <alignment horizontal="center"/>
      <protection/>
    </xf>
    <xf numFmtId="2" fontId="42" fillId="60" borderId="22" xfId="1349" applyNumberFormat="1" applyFont="1" applyFill="1" applyBorder="1" applyAlignment="1">
      <alignment horizontal="center"/>
      <protection/>
    </xf>
    <xf numFmtId="203" fontId="28" fillId="57" borderId="22" xfId="1221" applyNumberFormat="1" applyFont="1" applyFill="1" applyBorder="1" applyAlignment="1">
      <alignment horizontal="center" vertical="center"/>
    </xf>
    <xf numFmtId="43" fontId="28" fillId="0" borderId="22" xfId="1221" applyFont="1" applyFill="1" applyBorder="1" applyAlignment="1">
      <alignment horizontal="center" vertical="center"/>
    </xf>
    <xf numFmtId="203" fontId="28" fillId="0" borderId="22" xfId="1221" applyNumberFormat="1" applyFont="1" applyFill="1" applyBorder="1" applyAlignment="1">
      <alignment horizontal="center" vertical="center"/>
    </xf>
    <xf numFmtId="0" fontId="42" fillId="62" borderId="0" xfId="1349" applyFont="1" applyFill="1" applyAlignment="1">
      <alignment horizontal="center"/>
      <protection/>
    </xf>
    <xf numFmtId="0" fontId="42" fillId="62" borderId="33" xfId="1349" applyFont="1" applyFill="1" applyBorder="1" applyAlignment="1">
      <alignment horizontal="center"/>
      <protection/>
    </xf>
    <xf numFmtId="2" fontId="43" fillId="62" borderId="22" xfId="1349" applyNumberFormat="1" applyFont="1" applyFill="1" applyBorder="1" applyAlignment="1">
      <alignment horizontal="center"/>
      <protection/>
    </xf>
    <xf numFmtId="3" fontId="42" fillId="62" borderId="22" xfId="1349" applyNumberFormat="1" applyFont="1" applyFill="1" applyBorder="1" applyAlignment="1">
      <alignment horizontal="center"/>
      <protection/>
    </xf>
    <xf numFmtId="0" fontId="42" fillId="63" borderId="22" xfId="1349" applyFont="1" applyFill="1" applyBorder="1" applyAlignment="1">
      <alignment horizontal="center" vertical="center"/>
      <protection/>
    </xf>
    <xf numFmtId="2" fontId="28" fillId="63" borderId="22" xfId="1221" applyNumberFormat="1" applyFont="1" applyFill="1" applyBorder="1" applyAlignment="1">
      <alignment horizontal="center" vertical="center"/>
    </xf>
    <xf numFmtId="2" fontId="42" fillId="63" borderId="22" xfId="1221" applyNumberFormat="1" applyFont="1" applyFill="1" applyBorder="1" applyAlignment="1">
      <alignment horizontal="center" vertical="center"/>
    </xf>
    <xf numFmtId="4" fontId="96" fillId="63" borderId="22" xfId="1349" applyNumberFormat="1" applyFont="1" applyFill="1" applyBorder="1" applyAlignment="1">
      <alignment horizontal="center" vertical="center"/>
      <protection/>
    </xf>
    <xf numFmtId="0" fontId="42" fillId="63" borderId="25" xfId="1349" applyFont="1" applyFill="1" applyBorder="1" applyAlignment="1">
      <alignment horizontal="center"/>
      <protection/>
    </xf>
    <xf numFmtId="0" fontId="42" fillId="63" borderId="0" xfId="1349" applyFont="1" applyFill="1" applyAlignment="1">
      <alignment horizontal="center"/>
      <protection/>
    </xf>
    <xf numFmtId="0" fontId="42" fillId="63" borderId="0" xfId="1349" applyFont="1" applyFill="1" applyBorder="1" applyAlignment="1">
      <alignment horizontal="center"/>
      <protection/>
    </xf>
    <xf numFmtId="0" fontId="42" fillId="63" borderId="26" xfId="1349" applyFont="1" applyFill="1" applyBorder="1" applyAlignment="1">
      <alignment horizontal="center"/>
      <protection/>
    </xf>
    <xf numFmtId="2" fontId="43" fillId="63" borderId="22" xfId="1349" applyNumberFormat="1" applyFont="1" applyFill="1" applyBorder="1" applyAlignment="1">
      <alignment horizontal="center"/>
      <protection/>
    </xf>
    <xf numFmtId="3" fontId="42" fillId="63" borderId="22" xfId="1349" applyNumberFormat="1" applyFont="1" applyFill="1" applyBorder="1" applyAlignment="1">
      <alignment horizontal="center"/>
      <protection/>
    </xf>
    <xf numFmtId="2" fontId="28" fillId="0" borderId="22" xfId="1221" applyNumberFormat="1" applyFont="1" applyFill="1" applyBorder="1" applyAlignment="1">
      <alignment horizontal="center" vertical="center"/>
    </xf>
    <xf numFmtId="4" fontId="42" fillId="0" borderId="0" xfId="1349" applyNumberFormat="1" applyFont="1" applyFill="1" applyBorder="1" applyAlignment="1">
      <alignment horizontal="center"/>
      <protection/>
    </xf>
    <xf numFmtId="3" fontId="42" fillId="62" borderId="33" xfId="1349" applyNumberFormat="1" applyFont="1" applyFill="1" applyBorder="1" applyAlignment="1">
      <alignment horizontal="center"/>
      <protection/>
    </xf>
    <xf numFmtId="2" fontId="42" fillId="61" borderId="22" xfId="1221" applyNumberFormat="1" applyFont="1" applyFill="1" applyBorder="1" applyAlignment="1">
      <alignment horizontal="center" vertical="center"/>
    </xf>
    <xf numFmtId="2" fontId="42" fillId="63" borderId="22" xfId="1349" applyNumberFormat="1" applyFont="1" applyFill="1" applyBorder="1" applyAlignment="1">
      <alignment horizontal="center" vertical="center"/>
      <protection/>
    </xf>
    <xf numFmtId="2" fontId="42" fillId="0" borderId="0" xfId="1349" applyNumberFormat="1" applyFont="1" applyFill="1" applyAlignment="1">
      <alignment horizontal="center"/>
      <protection/>
    </xf>
    <xf numFmtId="4" fontId="42" fillId="0" borderId="22" xfId="1349" applyNumberFormat="1" applyFont="1" applyFill="1" applyBorder="1" applyAlignment="1">
      <alignment horizontal="center"/>
      <protection/>
    </xf>
    <xf numFmtId="0" fontId="45" fillId="0" borderId="22" xfId="1349" applyFont="1" applyFill="1" applyBorder="1" applyAlignment="1">
      <alignment horizontal="center"/>
      <protection/>
    </xf>
    <xf numFmtId="2" fontId="42" fillId="62" borderId="0" xfId="1349" applyNumberFormat="1" applyFont="1" applyFill="1" applyAlignment="1">
      <alignment horizontal="center"/>
      <protection/>
    </xf>
    <xf numFmtId="0" fontId="42" fillId="0" borderId="0" xfId="1349" applyFont="1" applyFill="1" applyBorder="1" applyAlignment="1">
      <alignment horizontal="center" vertical="center"/>
      <protection/>
    </xf>
    <xf numFmtId="2" fontId="42" fillId="0" borderId="28" xfId="1349" applyNumberFormat="1" applyFont="1" applyFill="1" applyBorder="1" applyAlignment="1">
      <alignment horizontal="center" vertical="center"/>
      <protection/>
    </xf>
    <xf numFmtId="0" fontId="42" fillId="0" borderId="33" xfId="1349" applyFont="1" applyFill="1" applyBorder="1" applyAlignment="1">
      <alignment horizontal="center" vertical="center"/>
      <protection/>
    </xf>
    <xf numFmtId="0" fontId="42" fillId="59" borderId="22" xfId="1349" applyFont="1" applyFill="1" applyBorder="1" applyAlignment="1">
      <alignment horizontal="center" vertical="center"/>
      <protection/>
    </xf>
    <xf numFmtId="4" fontId="28" fillId="59" borderId="22" xfId="1349" applyNumberFormat="1" applyFont="1" applyFill="1" applyBorder="1" applyAlignment="1">
      <alignment horizontal="center" vertical="center"/>
      <protection/>
    </xf>
    <xf numFmtId="1" fontId="42" fillId="59" borderId="22" xfId="1349" applyNumberFormat="1" applyFont="1" applyFill="1" applyBorder="1" applyAlignment="1">
      <alignment horizontal="center" vertical="center"/>
      <protection/>
    </xf>
    <xf numFmtId="2" fontId="42" fillId="59" borderId="22" xfId="1349" applyNumberFormat="1" applyFont="1" applyFill="1" applyBorder="1" applyAlignment="1">
      <alignment horizontal="center" vertical="center"/>
      <protection/>
    </xf>
    <xf numFmtId="2" fontId="42" fillId="59" borderId="22" xfId="1221" applyNumberFormat="1" applyFont="1" applyFill="1" applyBorder="1" applyAlignment="1">
      <alignment horizontal="center" vertical="center"/>
    </xf>
    <xf numFmtId="2" fontId="45" fillId="59" borderId="22" xfId="1349" applyNumberFormat="1" applyFont="1" applyFill="1" applyBorder="1" applyAlignment="1">
      <alignment horizontal="center" vertical="center"/>
      <protection/>
    </xf>
    <xf numFmtId="1" fontId="45" fillId="59" borderId="22" xfId="1349" applyNumberFormat="1" applyFont="1" applyFill="1" applyBorder="1" applyAlignment="1">
      <alignment horizontal="center" vertical="center"/>
      <protection/>
    </xf>
    <xf numFmtId="3" fontId="45" fillId="59" borderId="22" xfId="1349" applyNumberFormat="1" applyFont="1" applyFill="1" applyBorder="1" applyAlignment="1">
      <alignment horizontal="center" vertical="center"/>
      <protection/>
    </xf>
    <xf numFmtId="203" fontId="42" fillId="59" borderId="22" xfId="1221" applyNumberFormat="1" applyFont="1" applyFill="1" applyBorder="1" applyAlignment="1">
      <alignment horizontal="center" vertical="center"/>
    </xf>
    <xf numFmtId="0" fontId="45" fillId="59" borderId="22" xfId="1349" applyFont="1" applyFill="1" applyBorder="1" applyAlignment="1">
      <alignment horizontal="center" vertical="center"/>
      <protection/>
    </xf>
    <xf numFmtId="2" fontId="45" fillId="4" borderId="22" xfId="1349" applyNumberFormat="1" applyFont="1" applyFill="1" applyBorder="1" applyAlignment="1">
      <alignment horizontal="center" vertical="center"/>
      <protection/>
    </xf>
    <xf numFmtId="0" fontId="42" fillId="0" borderId="23" xfId="1349" applyFont="1" applyFill="1" applyBorder="1" applyAlignment="1">
      <alignment horizontal="center" vertical="center"/>
      <protection/>
    </xf>
    <xf numFmtId="0" fontId="42" fillId="62" borderId="0" xfId="1349" applyFont="1" applyFill="1" applyBorder="1" applyAlignment="1">
      <alignment horizontal="center" vertical="center"/>
      <protection/>
    </xf>
    <xf numFmtId="2" fontId="96" fillId="0" borderId="22" xfId="1349" applyNumberFormat="1" applyFont="1" applyFill="1" applyBorder="1" applyAlignment="1">
      <alignment horizontal="center" vertical="center"/>
      <protection/>
    </xf>
    <xf numFmtId="2" fontId="42" fillId="0" borderId="0" xfId="1349" applyNumberFormat="1" applyFont="1" applyFill="1" applyBorder="1" applyAlignment="1">
      <alignment horizontal="center" vertical="center"/>
      <protection/>
    </xf>
    <xf numFmtId="2" fontId="42" fillId="62" borderId="0" xfId="1349" applyNumberFormat="1" applyFont="1" applyFill="1" applyBorder="1" applyAlignment="1">
      <alignment horizontal="center" vertical="center"/>
      <protection/>
    </xf>
    <xf numFmtId="0" fontId="42" fillId="0" borderId="28" xfId="1349" applyFont="1" applyFill="1" applyBorder="1" applyAlignment="1">
      <alignment horizontal="center" vertical="center"/>
      <protection/>
    </xf>
    <xf numFmtId="3" fontId="45" fillId="0" borderId="22" xfId="1349" applyNumberFormat="1" applyFont="1" applyFill="1" applyBorder="1" applyAlignment="1">
      <alignment horizontal="center"/>
      <protection/>
    </xf>
    <xf numFmtId="4" fontId="28" fillId="63" borderId="22" xfId="1349" applyNumberFormat="1" applyFont="1" applyFill="1" applyBorder="1" applyAlignment="1">
      <alignment horizontal="center" vertical="center"/>
      <protection/>
    </xf>
    <xf numFmtId="39" fontId="42" fillId="0" borderId="0" xfId="1349" applyNumberFormat="1" applyFont="1" applyFill="1" applyAlignment="1">
      <alignment horizontal="center" vertical="center"/>
      <protection/>
    </xf>
    <xf numFmtId="0" fontId="43" fillId="57" borderId="29" xfId="1349" applyFont="1" applyFill="1" applyBorder="1" applyAlignment="1">
      <alignment horizontal="center" vertical="center"/>
      <protection/>
    </xf>
    <xf numFmtId="4" fontId="43" fillId="57" borderId="29" xfId="1349" applyNumberFormat="1" applyFont="1" applyFill="1" applyBorder="1" applyAlignment="1">
      <alignment horizontal="center" vertical="center"/>
      <protection/>
    </xf>
    <xf numFmtId="0" fontId="43" fillId="57" borderId="31" xfId="1349" applyFont="1" applyFill="1" applyBorder="1" applyAlignment="1">
      <alignment horizontal="center" vertical="center"/>
      <protection/>
    </xf>
    <xf numFmtId="0" fontId="42" fillId="0" borderId="0" xfId="1349" applyFont="1" applyFill="1" applyAlignment="1">
      <alignment horizontal="center" vertical="center"/>
      <protection/>
    </xf>
    <xf numFmtId="3" fontId="42" fillId="57" borderId="22" xfId="1349" applyNumberFormat="1" applyFont="1" applyFill="1" applyBorder="1" applyAlignment="1">
      <alignment horizontal="center" vertical="center"/>
      <protection/>
    </xf>
    <xf numFmtId="3" fontId="42" fillId="57" borderId="22" xfId="1349" applyNumberFormat="1" applyFont="1" applyFill="1" applyBorder="1" applyAlignment="1">
      <alignment horizontal="center"/>
      <protection/>
    </xf>
    <xf numFmtId="0" fontId="42" fillId="0" borderId="22" xfId="1349" applyFont="1" applyFill="1" applyBorder="1" applyAlignment="1">
      <alignment horizontal="left" vertical="center"/>
      <protection/>
    </xf>
    <xf numFmtId="43" fontId="42" fillId="57" borderId="22" xfId="1221" applyNumberFormat="1" applyFont="1" applyFill="1" applyBorder="1" applyAlignment="1">
      <alignment horizontal="center"/>
    </xf>
    <xf numFmtId="1" fontId="45" fillId="59" borderId="22" xfId="1221" applyNumberFormat="1" applyFont="1" applyFill="1" applyBorder="1" applyAlignment="1">
      <alignment horizontal="center" vertical="center"/>
    </xf>
    <xf numFmtId="1" fontId="42" fillId="59" borderId="22" xfId="1221" applyNumberFormat="1" applyFont="1" applyFill="1" applyBorder="1" applyAlignment="1">
      <alignment horizontal="center" vertical="center"/>
    </xf>
    <xf numFmtId="2" fontId="46" fillId="4" borderId="22" xfId="1349" applyNumberFormat="1" applyFont="1" applyFill="1" applyBorder="1" applyAlignment="1">
      <alignment horizontal="center" vertical="center"/>
      <protection/>
    </xf>
    <xf numFmtId="2" fontId="28" fillId="63" borderId="22" xfId="1349" applyNumberFormat="1" applyFont="1" applyFill="1" applyBorder="1" applyAlignment="1">
      <alignment horizontal="center" vertical="center"/>
      <protection/>
    </xf>
    <xf numFmtId="0" fontId="42" fillId="0" borderId="25" xfId="1349" applyFont="1" applyFill="1" applyBorder="1" applyAlignment="1">
      <alignment horizontal="center" vertical="center"/>
      <protection/>
    </xf>
    <xf numFmtId="0" fontId="42" fillId="0" borderId="22" xfId="1349" applyFont="1" applyFill="1" applyBorder="1" applyAlignment="1">
      <alignment horizontal="center"/>
      <protection/>
    </xf>
    <xf numFmtId="2" fontId="28" fillId="63" borderId="22" xfId="1349" applyNumberFormat="1" applyFont="1" applyFill="1" applyBorder="1" applyAlignment="1">
      <alignment horizontal="center"/>
      <protection/>
    </xf>
    <xf numFmtId="0" fontId="42" fillId="0" borderId="34" xfId="1349" applyFont="1" applyFill="1" applyBorder="1" applyAlignment="1">
      <alignment horizontal="left"/>
      <protection/>
    </xf>
    <xf numFmtId="0" fontId="42" fillId="0" borderId="35" xfId="1349" applyFont="1" applyFill="1" applyBorder="1" applyAlignment="1">
      <alignment horizontal="center"/>
      <protection/>
    </xf>
    <xf numFmtId="2" fontId="42" fillId="61" borderId="22" xfId="1138" applyNumberFormat="1" applyFont="1" applyFill="1" applyBorder="1" applyAlignment="1">
      <alignment horizontal="center" vertical="center"/>
    </xf>
    <xf numFmtId="1" fontId="42" fillId="61" borderId="22" xfId="1138" applyNumberFormat="1" applyFont="1" applyFill="1" applyBorder="1" applyAlignment="1">
      <alignment horizontal="center" vertical="center"/>
    </xf>
    <xf numFmtId="0" fontId="42" fillId="0" borderId="36" xfId="1349" applyFont="1" applyFill="1" applyBorder="1" applyAlignment="1">
      <alignment horizontal="center"/>
      <protection/>
    </xf>
    <xf numFmtId="0" fontId="42" fillId="0" borderId="37" xfId="1349" applyFont="1" applyFill="1" applyBorder="1" applyAlignment="1">
      <alignment horizontal="center"/>
      <protection/>
    </xf>
    <xf numFmtId="0" fontId="43" fillId="57" borderId="34" xfId="1349" applyFont="1" applyFill="1" applyBorder="1" applyAlignment="1">
      <alignment horizontal="left" vertical="center"/>
      <protection/>
    </xf>
    <xf numFmtId="0" fontId="43" fillId="57" borderId="35" xfId="1349" applyFont="1" applyFill="1" applyBorder="1" applyAlignment="1">
      <alignment horizontal="center"/>
      <protection/>
    </xf>
    <xf numFmtId="0" fontId="44" fillId="0" borderId="38" xfId="1349" applyFont="1" applyFill="1" applyBorder="1" applyAlignment="1">
      <alignment/>
      <protection/>
    </xf>
    <xf numFmtId="0" fontId="44" fillId="0" borderId="39" xfId="1349" applyFont="1" applyFill="1" applyBorder="1" applyAlignment="1">
      <alignment/>
      <protection/>
    </xf>
    <xf numFmtId="0" fontId="44" fillId="0" borderId="40" xfId="1349" applyFont="1" applyFill="1" applyBorder="1" applyAlignment="1">
      <alignment/>
      <protection/>
    </xf>
    <xf numFmtId="1" fontId="42" fillId="0" borderId="36" xfId="1349" applyNumberFormat="1" applyFont="1" applyFill="1" applyBorder="1" applyAlignment="1">
      <alignment horizontal="center"/>
      <protection/>
    </xf>
    <xf numFmtId="2" fontId="28" fillId="63" borderId="22" xfId="1349" applyNumberFormat="1" applyFont="1" applyFill="1" applyBorder="1" applyAlignment="1" quotePrefix="1">
      <alignment horizontal="center"/>
      <protection/>
    </xf>
    <xf numFmtId="0" fontId="42" fillId="0" borderId="38" xfId="1349" applyFont="1" applyFill="1" applyBorder="1" applyAlignment="1">
      <alignment horizontal="center"/>
      <protection/>
    </xf>
    <xf numFmtId="0" fontId="42" fillId="0" borderId="39" xfId="1349" applyFont="1" applyFill="1" applyBorder="1" applyAlignment="1">
      <alignment horizontal="center"/>
      <protection/>
    </xf>
    <xf numFmtId="0" fontId="42" fillId="0" borderId="40" xfId="1349" applyFont="1" applyFill="1" applyBorder="1" applyAlignment="1">
      <alignment horizontal="center"/>
      <protection/>
    </xf>
    <xf numFmtId="0" fontId="42" fillId="0" borderId="41" xfId="1349" applyFont="1" applyFill="1" applyBorder="1" applyAlignment="1">
      <alignment horizontal="center"/>
      <protection/>
    </xf>
    <xf numFmtId="0" fontId="42" fillId="0" borderId="42" xfId="1349" applyFont="1" applyFill="1" applyBorder="1" applyAlignment="1">
      <alignment horizontal="center"/>
      <protection/>
    </xf>
    <xf numFmtId="2" fontId="28" fillId="0" borderId="22" xfId="1349" applyNumberFormat="1" applyFont="1" applyFill="1" applyBorder="1" applyAlignment="1">
      <alignment horizontal="center"/>
      <protection/>
    </xf>
    <xf numFmtId="2" fontId="43" fillId="0" borderId="0" xfId="1349" applyNumberFormat="1" applyFont="1" applyFill="1" applyBorder="1" applyAlignment="1">
      <alignment horizontal="center"/>
      <protection/>
    </xf>
    <xf numFmtId="4" fontId="46" fillId="57" borderId="0" xfId="1349" applyNumberFormat="1" applyFont="1" applyFill="1" applyBorder="1" applyAlignment="1">
      <alignment horizontal="center"/>
      <protection/>
    </xf>
    <xf numFmtId="4" fontId="46" fillId="64" borderId="43" xfId="1349" applyNumberFormat="1" applyFont="1" applyFill="1" applyBorder="1" applyAlignment="1">
      <alignment horizontal="center"/>
      <protection/>
    </xf>
    <xf numFmtId="0" fontId="43" fillId="64" borderId="37" xfId="1349" applyFont="1" applyFill="1" applyBorder="1" applyAlignment="1">
      <alignment horizontal="center"/>
      <protection/>
    </xf>
    <xf numFmtId="0" fontId="45" fillId="0" borderId="0" xfId="1349" applyFont="1" applyFill="1" applyAlignment="1">
      <alignment horizontal="center"/>
      <protection/>
    </xf>
    <xf numFmtId="4" fontId="46" fillId="64" borderId="39" xfId="1349" applyNumberFormat="1" applyFont="1" applyFill="1" applyBorder="1" applyAlignment="1">
      <alignment horizontal="center"/>
      <protection/>
    </xf>
    <xf numFmtId="0" fontId="43" fillId="64" borderId="40" xfId="1349" applyFont="1" applyFill="1" applyBorder="1" applyAlignment="1">
      <alignment horizontal="center"/>
      <protection/>
    </xf>
    <xf numFmtId="0" fontId="49" fillId="0" borderId="0" xfId="1349" applyFont="1" applyFill="1" applyAlignment="1">
      <alignment horizontal="center"/>
      <protection/>
    </xf>
    <xf numFmtId="4" fontId="44" fillId="0" borderId="22" xfId="1349" applyNumberFormat="1" applyFont="1" applyFill="1" applyBorder="1" applyAlignment="1">
      <alignment horizontal="center"/>
      <protection/>
    </xf>
    <xf numFmtId="3" fontId="44" fillId="0" borderId="22" xfId="1349" applyNumberFormat="1" applyFont="1" applyFill="1" applyBorder="1" applyAlignment="1">
      <alignment horizontal="center"/>
      <protection/>
    </xf>
    <xf numFmtId="0" fontId="44" fillId="0" borderId="0" xfId="1349" applyFont="1" applyFill="1" applyAlignment="1">
      <alignment horizontal="center"/>
      <protection/>
    </xf>
    <xf numFmtId="39" fontId="49" fillId="0" borderId="0" xfId="1349" applyNumberFormat="1" applyFont="1" applyFill="1" applyAlignment="1">
      <alignment horizontal="center"/>
      <protection/>
    </xf>
    <xf numFmtId="2" fontId="49" fillId="57" borderId="22" xfId="1349" applyNumberFormat="1" applyFont="1" applyFill="1" applyBorder="1" applyAlignment="1">
      <alignment horizontal="center"/>
      <protection/>
    </xf>
    <xf numFmtId="1" fontId="49" fillId="57" borderId="22" xfId="1349" applyNumberFormat="1" applyFont="1" applyFill="1" applyBorder="1" applyAlignment="1">
      <alignment horizontal="center"/>
      <protection/>
    </xf>
    <xf numFmtId="1" fontId="49" fillId="0" borderId="0" xfId="1349" applyNumberFormat="1" applyFont="1" applyFill="1" applyAlignment="1">
      <alignment horizontal="center"/>
      <protection/>
    </xf>
    <xf numFmtId="2" fontId="49" fillId="0" borderId="22" xfId="1349" applyNumberFormat="1" applyFont="1" applyFill="1" applyBorder="1" applyAlignment="1">
      <alignment horizontal="center"/>
      <protection/>
    </xf>
    <xf numFmtId="1" fontId="49" fillId="0" borderId="22" xfId="1349" applyNumberFormat="1" applyFont="1" applyFill="1" applyBorder="1" applyAlignment="1">
      <alignment horizontal="center"/>
      <protection/>
    </xf>
    <xf numFmtId="0" fontId="44" fillId="59" borderId="22" xfId="1349" applyFont="1" applyFill="1" applyBorder="1" applyAlignment="1">
      <alignment horizontal="center" vertical="center"/>
      <protection/>
    </xf>
    <xf numFmtId="4" fontId="50" fillId="59" borderId="22" xfId="1349" applyNumberFormat="1" applyFont="1" applyFill="1" applyBorder="1" applyAlignment="1">
      <alignment horizontal="center" vertical="center"/>
      <protection/>
    </xf>
    <xf numFmtId="1" fontId="44" fillId="59" borderId="22" xfId="1349" applyNumberFormat="1" applyFont="1" applyFill="1" applyBorder="1" applyAlignment="1">
      <alignment horizontal="center" vertical="center"/>
      <protection/>
    </xf>
    <xf numFmtId="2" fontId="49" fillId="59" borderId="22" xfId="1349" applyNumberFormat="1" applyFont="1" applyFill="1" applyBorder="1" applyAlignment="1">
      <alignment horizontal="center" vertical="center"/>
      <protection/>
    </xf>
    <xf numFmtId="2" fontId="44" fillId="59" borderId="22" xfId="1349" applyNumberFormat="1" applyFont="1" applyFill="1" applyBorder="1" applyAlignment="1">
      <alignment horizontal="center" vertical="center"/>
      <protection/>
    </xf>
    <xf numFmtId="2" fontId="44" fillId="59" borderId="22" xfId="1221" applyNumberFormat="1" applyFont="1" applyFill="1" applyBorder="1" applyAlignment="1">
      <alignment horizontal="center" vertical="center"/>
    </xf>
    <xf numFmtId="3" fontId="44" fillId="59" borderId="22" xfId="1349" applyNumberFormat="1" applyFont="1" applyFill="1" applyBorder="1" applyAlignment="1">
      <alignment horizontal="center" vertical="center"/>
      <protection/>
    </xf>
    <xf numFmtId="203" fontId="44" fillId="59" borderId="22" xfId="1221" applyNumberFormat="1" applyFont="1" applyFill="1" applyBorder="1" applyAlignment="1">
      <alignment horizontal="center" vertical="center"/>
    </xf>
    <xf numFmtId="4" fontId="44" fillId="59" borderId="22" xfId="1349" applyNumberFormat="1" applyFont="1" applyFill="1" applyBorder="1" applyAlignment="1">
      <alignment horizontal="center" vertical="center"/>
      <protection/>
    </xf>
    <xf numFmtId="4" fontId="44" fillId="4" borderId="22" xfId="1349" applyNumberFormat="1" applyFont="1" applyFill="1" applyBorder="1" applyAlignment="1">
      <alignment horizontal="center" vertical="center"/>
      <protection/>
    </xf>
    <xf numFmtId="0" fontId="44" fillId="0" borderId="23" xfId="1349" applyFont="1" applyFill="1" applyBorder="1" applyAlignment="1">
      <alignment horizontal="center" vertical="center"/>
      <protection/>
    </xf>
    <xf numFmtId="0" fontId="51" fillId="0" borderId="22" xfId="1349" applyFont="1" applyFill="1" applyBorder="1" applyAlignment="1">
      <alignment horizontal="left"/>
      <protection/>
    </xf>
    <xf numFmtId="0" fontId="51" fillId="0" borderId="22" xfId="1349" applyFont="1" applyFill="1" applyBorder="1" applyAlignment="1">
      <alignment horizontal="center" vertical="center"/>
      <protection/>
    </xf>
    <xf numFmtId="0" fontId="51" fillId="0" borderId="22" xfId="1349" applyFont="1" applyFill="1" applyBorder="1" applyAlignment="1">
      <alignment horizontal="left" vertical="center"/>
      <protection/>
    </xf>
    <xf numFmtId="4" fontId="52" fillId="0" borderId="22" xfId="1349" applyNumberFormat="1" applyFont="1" applyFill="1" applyBorder="1" applyAlignment="1">
      <alignment horizontal="center" vertical="center"/>
      <protection/>
    </xf>
    <xf numFmtId="1" fontId="49" fillId="60" borderId="22" xfId="1349" applyNumberFormat="1" applyFont="1" applyFill="1" applyBorder="1" applyAlignment="1">
      <alignment horizontal="center" vertical="center"/>
      <protection/>
    </xf>
    <xf numFmtId="2" fontId="49" fillId="60" borderId="22" xfId="1349" applyNumberFormat="1" applyFont="1" applyFill="1" applyBorder="1" applyAlignment="1">
      <alignment horizontal="center" vertical="center"/>
      <protection/>
    </xf>
    <xf numFmtId="2" fontId="49" fillId="0" borderId="22" xfId="1349" applyNumberFormat="1" applyFont="1" applyFill="1" applyBorder="1" applyAlignment="1">
      <alignment horizontal="center" vertical="center"/>
      <protection/>
    </xf>
    <xf numFmtId="2" fontId="49" fillId="6" borderId="22" xfId="1349" applyNumberFormat="1" applyFont="1" applyFill="1" applyBorder="1" applyAlignment="1">
      <alignment horizontal="center" vertical="center"/>
      <protection/>
    </xf>
    <xf numFmtId="1" fontId="49" fillId="6" borderId="22" xfId="1349" applyNumberFormat="1" applyFont="1" applyFill="1" applyBorder="1" applyAlignment="1">
      <alignment horizontal="center" vertical="center"/>
      <protection/>
    </xf>
    <xf numFmtId="1" fontId="49" fillId="0" borderId="22" xfId="1349" applyNumberFormat="1" applyFont="1" applyFill="1" applyBorder="1" applyAlignment="1">
      <alignment horizontal="center" vertical="center"/>
      <protection/>
    </xf>
    <xf numFmtId="2" fontId="49" fillId="61" borderId="22" xfId="1349" applyNumberFormat="1" applyFont="1" applyFill="1" applyBorder="1" applyAlignment="1">
      <alignment horizontal="center" vertical="center"/>
      <protection/>
    </xf>
    <xf numFmtId="1" fontId="49" fillId="61" borderId="22" xfId="1349" applyNumberFormat="1" applyFont="1" applyFill="1" applyBorder="1" applyAlignment="1">
      <alignment horizontal="center" vertical="center"/>
      <protection/>
    </xf>
    <xf numFmtId="4" fontId="53" fillId="58" borderId="22" xfId="1349" applyNumberFormat="1" applyFont="1" applyFill="1" applyBorder="1" applyAlignment="1">
      <alignment horizontal="center" vertical="center"/>
      <protection/>
    </xf>
    <xf numFmtId="0" fontId="49" fillId="0" borderId="25" xfId="1349" applyFont="1" applyFill="1" applyBorder="1" applyAlignment="1">
      <alignment horizontal="center"/>
      <protection/>
    </xf>
    <xf numFmtId="39" fontId="49" fillId="0" borderId="0" xfId="1349" applyNumberFormat="1" applyFont="1" applyFill="1" applyAlignment="1">
      <alignment horizontal="center" vertical="center"/>
      <protection/>
    </xf>
    <xf numFmtId="0" fontId="49" fillId="0" borderId="0" xfId="1349" applyFont="1" applyFill="1" applyAlignment="1">
      <alignment horizontal="center" vertical="center"/>
      <protection/>
    </xf>
    <xf numFmtId="0" fontId="53" fillId="62" borderId="0" xfId="1349" applyFont="1" applyFill="1" applyBorder="1" applyAlignment="1">
      <alignment horizontal="center" vertical="center"/>
      <protection/>
    </xf>
    <xf numFmtId="4" fontId="53" fillId="62" borderId="0" xfId="1349" applyNumberFormat="1" applyFont="1" applyFill="1" applyBorder="1" applyAlignment="1">
      <alignment horizontal="center" vertical="center"/>
      <protection/>
    </xf>
    <xf numFmtId="2" fontId="49" fillId="57" borderId="22" xfId="1349" applyNumberFormat="1" applyFont="1" applyFill="1" applyBorder="1" applyAlignment="1">
      <alignment horizontal="center" vertical="center"/>
      <protection/>
    </xf>
    <xf numFmtId="3" fontId="49" fillId="57" borderId="22" xfId="1349" applyNumberFormat="1" applyFont="1" applyFill="1" applyBorder="1" applyAlignment="1">
      <alignment horizontal="center" vertical="center"/>
      <protection/>
    </xf>
    <xf numFmtId="1" fontId="53" fillId="60" borderId="22" xfId="1349" applyNumberFormat="1" applyFont="1" applyFill="1" applyBorder="1" applyAlignment="1">
      <alignment horizontal="center" vertical="center"/>
      <protection/>
    </xf>
    <xf numFmtId="2" fontId="53" fillId="0" borderId="22" xfId="1349" applyNumberFormat="1" applyFont="1" applyFill="1" applyBorder="1" applyAlignment="1">
      <alignment horizontal="center" vertical="center"/>
      <protection/>
    </xf>
    <xf numFmtId="2" fontId="53" fillId="0" borderId="22" xfId="1221" applyNumberFormat="1" applyFont="1" applyFill="1" applyBorder="1" applyAlignment="1">
      <alignment horizontal="center" vertical="center"/>
    </xf>
    <xf numFmtId="1" fontId="53" fillId="6" borderId="22" xfId="1349" applyNumberFormat="1" applyFont="1" applyFill="1" applyBorder="1" applyAlignment="1">
      <alignment horizontal="center" vertical="center"/>
      <protection/>
    </xf>
    <xf numFmtId="2" fontId="53" fillId="0" borderId="22" xfId="1349" applyNumberFormat="1" applyFont="1" applyFill="1" applyBorder="1" applyAlignment="1">
      <alignment horizontal="center"/>
      <protection/>
    </xf>
    <xf numFmtId="2" fontId="49" fillId="0" borderId="22" xfId="1221" applyNumberFormat="1" applyFont="1" applyFill="1" applyBorder="1" applyAlignment="1">
      <alignment horizontal="center" vertical="center"/>
    </xf>
    <xf numFmtId="2" fontId="49" fillId="6" borderId="22" xfId="1221" applyNumberFormat="1" applyFont="1" applyFill="1" applyBorder="1" applyAlignment="1">
      <alignment horizontal="center" vertical="center"/>
    </xf>
    <xf numFmtId="0" fontId="43" fillId="0" borderId="0" xfId="1349" applyFont="1" applyFill="1" applyBorder="1" applyAlignment="1">
      <alignment horizontal="left" vertical="center"/>
      <protection/>
    </xf>
    <xf numFmtId="4" fontId="43" fillId="0" borderId="0" xfId="1349" applyNumberFormat="1" applyFont="1" applyFill="1" applyBorder="1" applyAlignment="1">
      <alignment horizontal="center"/>
      <protection/>
    </xf>
    <xf numFmtId="0" fontId="43" fillId="0" borderId="0" xfId="1349" applyFont="1" applyFill="1" applyBorder="1" applyAlignment="1">
      <alignment horizontal="center"/>
      <protection/>
    </xf>
    <xf numFmtId="0" fontId="52" fillId="0" borderId="22" xfId="1349" applyFont="1" applyFill="1" applyBorder="1" applyAlignment="1">
      <alignment horizontal="left" vertical="center"/>
      <protection/>
    </xf>
    <xf numFmtId="1" fontId="49" fillId="60" borderId="22" xfId="1349" applyNumberFormat="1" applyFont="1" applyFill="1" applyBorder="1" applyAlignment="1">
      <alignment horizontal="left" vertical="center"/>
      <protection/>
    </xf>
    <xf numFmtId="2" fontId="49" fillId="60" borderId="22" xfId="1349" applyNumberFormat="1" applyFont="1" applyFill="1" applyBorder="1" applyAlignment="1">
      <alignment horizontal="left" vertical="center"/>
      <protection/>
    </xf>
    <xf numFmtId="4" fontId="54" fillId="0" borderId="0" xfId="1349" applyNumberFormat="1" applyFont="1" applyFill="1" applyBorder="1" applyAlignment="1">
      <alignment horizontal="center"/>
      <protection/>
    </xf>
    <xf numFmtId="0" fontId="52" fillId="0" borderId="22" xfId="1349" applyFont="1" applyFill="1" applyBorder="1" applyAlignment="1">
      <alignment vertical="center"/>
      <protection/>
    </xf>
    <xf numFmtId="0" fontId="52" fillId="63" borderId="22" xfId="1349" applyFont="1" applyFill="1" applyBorder="1" applyAlignment="1">
      <alignment vertical="center"/>
      <protection/>
    </xf>
    <xf numFmtId="1" fontId="49" fillId="63" borderId="22" xfId="1349" applyNumberFormat="1" applyFont="1" applyFill="1" applyBorder="1" applyAlignment="1">
      <alignment vertical="center"/>
      <protection/>
    </xf>
    <xf numFmtId="2" fontId="49" fillId="63" borderId="22" xfId="1349" applyNumberFormat="1" applyFont="1" applyFill="1" applyBorder="1" applyAlignment="1">
      <alignment vertical="center"/>
      <protection/>
    </xf>
    <xf numFmtId="2" fontId="49" fillId="63" borderId="22" xfId="1349" applyNumberFormat="1" applyFont="1" applyFill="1" applyBorder="1" applyAlignment="1">
      <alignment horizontal="center" vertical="center"/>
      <protection/>
    </xf>
    <xf numFmtId="2" fontId="52" fillId="62" borderId="22" xfId="1349" applyNumberFormat="1" applyFont="1" applyFill="1" applyBorder="1" applyAlignment="1">
      <alignment horizontal="center"/>
      <protection/>
    </xf>
    <xf numFmtId="2" fontId="53" fillId="61" borderId="22" xfId="1349" applyNumberFormat="1" applyFont="1" applyFill="1" applyBorder="1" applyAlignment="1">
      <alignment horizontal="center" vertical="center"/>
      <protection/>
    </xf>
    <xf numFmtId="0" fontId="49" fillId="0" borderId="23" xfId="1349" applyFont="1" applyFill="1" applyBorder="1" applyAlignment="1">
      <alignment horizontal="center"/>
      <protection/>
    </xf>
    <xf numFmtId="0" fontId="45" fillId="58" borderId="22" xfId="1349" applyFont="1" applyFill="1" applyBorder="1" applyAlignment="1">
      <alignment horizontal="left" vertical="center"/>
      <protection/>
    </xf>
    <xf numFmtId="0" fontId="45" fillId="58" borderId="22" xfId="1349" applyFont="1" applyFill="1" applyBorder="1" applyAlignment="1">
      <alignment horizontal="center" vertical="center" wrapText="1"/>
      <protection/>
    </xf>
    <xf numFmtId="0" fontId="45" fillId="58" borderId="22" xfId="1349" applyFont="1" applyFill="1" applyBorder="1" applyAlignment="1">
      <alignment horizontal="center" vertical="center"/>
      <protection/>
    </xf>
    <xf numFmtId="4" fontId="55" fillId="58" borderId="22" xfId="1349" applyNumberFormat="1" applyFont="1" applyFill="1" applyBorder="1" applyAlignment="1">
      <alignment horizontal="center" vertical="center"/>
      <protection/>
    </xf>
    <xf numFmtId="1" fontId="45" fillId="58" borderId="22" xfId="1349" applyNumberFormat="1" applyFont="1" applyFill="1" applyBorder="1" applyAlignment="1">
      <alignment horizontal="center" vertical="center"/>
      <protection/>
    </xf>
    <xf numFmtId="2" fontId="45" fillId="58" borderId="22" xfId="1349" applyNumberFormat="1" applyFont="1" applyFill="1" applyBorder="1" applyAlignment="1">
      <alignment horizontal="center" vertical="center"/>
      <protection/>
    </xf>
    <xf numFmtId="2" fontId="45" fillId="58" borderId="22" xfId="1221" applyNumberFormat="1" applyFont="1" applyFill="1" applyBorder="1" applyAlignment="1">
      <alignment horizontal="center" vertical="center"/>
    </xf>
    <xf numFmtId="204" fontId="45" fillId="58" borderId="22" xfId="1349" applyNumberFormat="1" applyFont="1" applyFill="1" applyBorder="1" applyAlignment="1">
      <alignment horizontal="center" vertical="center"/>
      <protection/>
    </xf>
    <xf numFmtId="203" fontId="45" fillId="58" borderId="22" xfId="1221" applyNumberFormat="1" applyFont="1" applyFill="1" applyBorder="1" applyAlignment="1">
      <alignment horizontal="center" vertical="center"/>
    </xf>
    <xf numFmtId="0" fontId="45" fillId="23" borderId="23" xfId="1349" applyFont="1" applyFill="1" applyBorder="1" applyAlignment="1">
      <alignment horizontal="center" vertical="center"/>
      <protection/>
    </xf>
    <xf numFmtId="2" fontId="45" fillId="0" borderId="0" xfId="1349" applyNumberFormat="1" applyFont="1" applyFill="1" applyAlignment="1">
      <alignment horizontal="center"/>
      <protection/>
    </xf>
    <xf numFmtId="4" fontId="42" fillId="59" borderId="22" xfId="1221" applyNumberFormat="1" applyFont="1" applyFill="1" applyBorder="1" applyAlignment="1">
      <alignment horizontal="center" vertical="center"/>
    </xf>
    <xf numFmtId="4" fontId="45" fillId="59" borderId="22" xfId="1349" applyNumberFormat="1" applyFont="1" applyFill="1" applyBorder="1" applyAlignment="1">
      <alignment horizontal="center" vertical="center"/>
      <protection/>
    </xf>
    <xf numFmtId="4" fontId="28" fillId="63" borderId="22" xfId="1221" applyNumberFormat="1" applyFont="1" applyFill="1" applyBorder="1" applyAlignment="1">
      <alignment horizontal="center" vertical="center"/>
    </xf>
    <xf numFmtId="2" fontId="42" fillId="60" borderId="22" xfId="1221" applyNumberFormat="1" applyFont="1" applyFill="1" applyBorder="1" applyAlignment="1">
      <alignment horizontal="center" vertical="center"/>
    </xf>
    <xf numFmtId="4" fontId="96" fillId="0" borderId="22" xfId="1349" applyNumberFormat="1" applyFont="1" applyFill="1" applyBorder="1" applyAlignment="1">
      <alignment horizontal="center" vertical="center" wrapText="1"/>
      <protection/>
    </xf>
    <xf numFmtId="2" fontId="97" fillId="63" borderId="22" xfId="1349" applyNumberFormat="1" applyFont="1" applyFill="1" applyBorder="1" applyAlignment="1">
      <alignment horizontal="center"/>
      <protection/>
    </xf>
    <xf numFmtId="2" fontId="42" fillId="0" borderId="22" xfId="980" applyNumberFormat="1" applyFont="1" applyFill="1" applyBorder="1" applyAlignment="1">
      <alignment horizontal="center" vertical="center"/>
    </xf>
    <xf numFmtId="0" fontId="97" fillId="63" borderId="22" xfId="1349" applyFont="1" applyFill="1" applyBorder="1" applyAlignment="1">
      <alignment horizontal="center"/>
      <protection/>
    </xf>
    <xf numFmtId="4" fontId="97" fillId="63" borderId="22" xfId="1221" applyNumberFormat="1" applyFont="1" applyFill="1" applyBorder="1" applyAlignment="1">
      <alignment horizontal="center" vertical="center"/>
    </xf>
    <xf numFmtId="2" fontId="97" fillId="63" borderId="22" xfId="1349" applyNumberFormat="1" applyFont="1" applyFill="1" applyBorder="1" applyAlignment="1">
      <alignment horizontal="center" vertical="center"/>
      <protection/>
    </xf>
    <xf numFmtId="4" fontId="97" fillId="63" borderId="0" xfId="1349" applyNumberFormat="1" applyFont="1" applyFill="1" applyAlignment="1">
      <alignment horizontal="left"/>
      <protection/>
    </xf>
    <xf numFmtId="2" fontId="42" fillId="0" borderId="22" xfId="1460" applyNumberFormat="1" applyFont="1" applyFill="1" applyBorder="1" applyAlignment="1">
      <alignment horizontal="center"/>
      <protection/>
    </xf>
    <xf numFmtId="1" fontId="42" fillId="0" borderId="22" xfId="1460" applyNumberFormat="1" applyFont="1" applyFill="1" applyBorder="1" applyAlignment="1">
      <alignment horizontal="center"/>
      <protection/>
    </xf>
    <xf numFmtId="2" fontId="43" fillId="0" borderId="22" xfId="1460" applyNumberFormat="1" applyFont="1" applyFill="1" applyBorder="1" applyAlignment="1">
      <alignment horizontal="center"/>
      <protection/>
    </xf>
    <xf numFmtId="3" fontId="42" fillId="0" borderId="22" xfId="1460" applyNumberFormat="1" applyFont="1" applyFill="1" applyBorder="1" applyAlignment="1">
      <alignment horizontal="center"/>
      <protection/>
    </xf>
    <xf numFmtId="4" fontId="97" fillId="63" borderId="22" xfId="1349" applyNumberFormat="1" applyFont="1" applyFill="1" applyBorder="1" applyAlignment="1">
      <alignment horizontal="center" vertical="center"/>
      <protection/>
    </xf>
    <xf numFmtId="4" fontId="28" fillId="0" borderId="0" xfId="1349" applyNumberFormat="1" applyFont="1" applyFill="1" applyAlignment="1">
      <alignment horizontal="left"/>
      <protection/>
    </xf>
    <xf numFmtId="4" fontId="28" fillId="0" borderId="22" xfId="1460" applyNumberFormat="1" applyFont="1" applyFill="1" applyBorder="1" applyAlignment="1">
      <alignment horizontal="center" vertical="center"/>
      <protection/>
    </xf>
    <xf numFmtId="1" fontId="42" fillId="60" borderId="22" xfId="1460" applyNumberFormat="1" applyFont="1" applyFill="1" applyBorder="1" applyAlignment="1">
      <alignment horizontal="center" vertical="center"/>
      <protection/>
    </xf>
    <xf numFmtId="2" fontId="42" fillId="60" borderId="22" xfId="980" applyNumberFormat="1" applyFont="1" applyFill="1" applyBorder="1" applyAlignment="1">
      <alignment horizontal="center" vertical="center"/>
    </xf>
    <xf numFmtId="2" fontId="42" fillId="6" borderId="22" xfId="980" applyNumberFormat="1" applyFont="1" applyFill="1" applyBorder="1" applyAlignment="1">
      <alignment horizontal="center" vertical="center"/>
    </xf>
    <xf numFmtId="2" fontId="42" fillId="61" borderId="22" xfId="1460" applyNumberFormat="1" applyFont="1" applyFill="1" applyBorder="1" applyAlignment="1">
      <alignment horizontal="center" vertical="center"/>
      <protection/>
    </xf>
    <xf numFmtId="1" fontId="42" fillId="61" borderId="22" xfId="1460" applyNumberFormat="1" applyFont="1" applyFill="1" applyBorder="1" applyAlignment="1">
      <alignment horizontal="center" vertical="center"/>
      <protection/>
    </xf>
    <xf numFmtId="2" fontId="42" fillId="0" borderId="22" xfId="1460" applyNumberFormat="1" applyFont="1" applyFill="1" applyBorder="1" applyAlignment="1">
      <alignment horizontal="center" vertical="center"/>
      <protection/>
    </xf>
    <xf numFmtId="2" fontId="96" fillId="0" borderId="22" xfId="1221" applyNumberFormat="1" applyFont="1" applyFill="1" applyBorder="1" applyAlignment="1">
      <alignment horizontal="center" vertical="center"/>
    </xf>
    <xf numFmtId="0" fontId="28" fillId="0" borderId="22" xfId="1349" applyFont="1" applyFill="1" applyBorder="1" applyAlignment="1">
      <alignment horizontal="center"/>
      <protection/>
    </xf>
    <xf numFmtId="2" fontId="42" fillId="60" borderId="22" xfId="1460" applyNumberFormat="1" applyFont="1" applyFill="1" applyBorder="1" applyAlignment="1">
      <alignment horizontal="center" vertical="center"/>
      <protection/>
    </xf>
    <xf numFmtId="194" fontId="42" fillId="0" borderId="22" xfId="980" applyNumberFormat="1" applyFont="1" applyFill="1" applyBorder="1" applyAlignment="1">
      <alignment horizontal="center"/>
    </xf>
    <xf numFmtId="2" fontId="43" fillId="61" borderId="22" xfId="1460" applyNumberFormat="1" applyFont="1" applyFill="1" applyBorder="1" applyAlignment="1">
      <alignment horizontal="center" vertical="center"/>
      <protection/>
    </xf>
    <xf numFmtId="4" fontId="28" fillId="63" borderId="22" xfId="1460" applyNumberFormat="1" applyFont="1" applyFill="1" applyBorder="1" applyAlignment="1">
      <alignment horizontal="center" vertical="center"/>
      <protection/>
    </xf>
    <xf numFmtId="43" fontId="42" fillId="0" borderId="0" xfId="1349" applyNumberFormat="1" applyFont="1" applyFill="1" applyAlignment="1">
      <alignment horizontal="center"/>
      <protection/>
    </xf>
    <xf numFmtId="43" fontId="42" fillId="0" borderId="22" xfId="1221" applyFont="1" applyFill="1" applyBorder="1" applyAlignment="1">
      <alignment horizontal="center"/>
    </xf>
    <xf numFmtId="2" fontId="42" fillId="63" borderId="44" xfId="1236" applyNumberFormat="1" applyFont="1" applyFill="1" applyBorder="1" applyAlignment="1">
      <alignment horizontal="center" vertical="center" wrapText="1"/>
    </xf>
    <xf numFmtId="2" fontId="28" fillId="63" borderId="44" xfId="1236" applyNumberFormat="1" applyFont="1" applyFill="1" applyBorder="1" applyAlignment="1">
      <alignment horizontal="center" vertical="center" wrapText="1"/>
    </xf>
    <xf numFmtId="1" fontId="42" fillId="61" borderId="22" xfId="1221" applyNumberFormat="1" applyFont="1" applyFill="1" applyBorder="1" applyAlignment="1">
      <alignment horizontal="center" vertical="center"/>
    </xf>
    <xf numFmtId="0" fontId="43" fillId="62" borderId="0" xfId="1349" applyFont="1" applyFill="1" applyBorder="1" applyAlignment="1">
      <alignment horizontal="center" vertical="center"/>
      <protection/>
    </xf>
    <xf numFmtId="4" fontId="43" fillId="62" borderId="0" xfId="1349" applyNumberFormat="1" applyFont="1" applyFill="1" applyBorder="1" applyAlignment="1">
      <alignment horizontal="center" vertical="center"/>
      <protection/>
    </xf>
    <xf numFmtId="0" fontId="28" fillId="63" borderId="44" xfId="1236" applyNumberFormat="1" applyFont="1" applyFill="1" applyBorder="1" applyAlignment="1">
      <alignment horizontal="center" vertical="center" wrapText="1"/>
    </xf>
    <xf numFmtId="2" fontId="42" fillId="6" borderId="19" xfId="1221" applyNumberFormat="1" applyFont="1" applyFill="1" applyBorder="1" applyAlignment="1">
      <alignment horizontal="center" vertical="center"/>
    </xf>
    <xf numFmtId="0" fontId="32" fillId="63" borderId="44" xfId="1236" applyNumberFormat="1" applyFont="1" applyFill="1" applyBorder="1" applyAlignment="1">
      <alignment horizontal="center" vertical="center" wrapText="1"/>
    </xf>
    <xf numFmtId="43" fontId="43" fillId="0" borderId="22" xfId="1221" applyFont="1" applyFill="1" applyBorder="1" applyAlignment="1">
      <alignment horizontal="center"/>
    </xf>
    <xf numFmtId="43" fontId="28" fillId="65" borderId="22" xfId="1221" applyFont="1" applyFill="1" applyBorder="1" applyAlignment="1">
      <alignment horizontal="center" vertical="center"/>
    </xf>
    <xf numFmtId="2" fontId="42" fillId="65" borderId="22" xfId="1221" applyNumberFormat="1" applyFont="1" applyFill="1" applyBorder="1" applyAlignment="1">
      <alignment horizontal="center" vertical="center"/>
    </xf>
    <xf numFmtId="4" fontId="98" fillId="66" borderId="22" xfId="1349" applyNumberFormat="1" applyFont="1" applyFill="1" applyBorder="1" applyAlignment="1">
      <alignment horizontal="center" vertical="center"/>
      <protection/>
    </xf>
    <xf numFmtId="1" fontId="42" fillId="6" borderId="22" xfId="980" applyNumberFormat="1" applyFont="1" applyFill="1" applyBorder="1" applyAlignment="1">
      <alignment horizontal="center" vertical="center"/>
    </xf>
    <xf numFmtId="2" fontId="42" fillId="67" borderId="22" xfId="1221" applyNumberFormat="1" applyFont="1" applyFill="1" applyBorder="1" applyAlignment="1">
      <alignment horizontal="center" vertical="center"/>
    </xf>
    <xf numFmtId="1" fontId="42" fillId="67" borderId="22" xfId="1349" applyNumberFormat="1" applyFont="1" applyFill="1" applyBorder="1" applyAlignment="1">
      <alignment horizontal="center" vertical="center"/>
      <protection/>
    </xf>
    <xf numFmtId="2" fontId="42" fillId="68" borderId="22" xfId="1460" applyNumberFormat="1" applyFont="1" applyFill="1" applyBorder="1" applyAlignment="1">
      <alignment horizontal="center" vertical="center"/>
      <protection/>
    </xf>
    <xf numFmtId="1" fontId="42" fillId="68" borderId="22" xfId="1460" applyNumberFormat="1" applyFont="1" applyFill="1" applyBorder="1" applyAlignment="1">
      <alignment horizontal="center" vertical="center"/>
      <protection/>
    </xf>
    <xf numFmtId="4" fontId="43" fillId="69" borderId="22" xfId="1349" applyNumberFormat="1" applyFont="1" applyFill="1" applyBorder="1" applyAlignment="1">
      <alignment horizontal="center" vertical="center"/>
      <protection/>
    </xf>
    <xf numFmtId="0" fontId="27" fillId="0" borderId="22" xfId="1460" applyFont="1" applyFill="1" applyBorder="1" applyAlignment="1" applyProtection="1">
      <alignment horizontal="center" vertical="center"/>
      <protection locked="0"/>
    </xf>
    <xf numFmtId="0" fontId="27" fillId="0" borderId="45" xfId="1460" applyFont="1" applyFill="1" applyBorder="1" applyAlignment="1" applyProtection="1">
      <alignment horizontal="center" vertical="center"/>
      <protection locked="0"/>
    </xf>
    <xf numFmtId="2" fontId="42" fillId="63" borderId="46" xfId="1221" applyNumberFormat="1" applyFont="1" applyFill="1" applyBorder="1" applyAlignment="1">
      <alignment horizontal="center" vertical="center" wrapText="1"/>
    </xf>
    <xf numFmtId="0" fontId="27" fillId="62" borderId="25" xfId="1460" applyFont="1" applyFill="1" applyBorder="1" applyAlignment="1" applyProtection="1">
      <alignment vertical="center"/>
      <protection locked="0"/>
    </xf>
    <xf numFmtId="2" fontId="28" fillId="62" borderId="22" xfId="1460" applyNumberFormat="1" applyFont="1" applyFill="1" applyBorder="1" applyAlignment="1" applyProtection="1">
      <alignment horizontal="center" vertical="center"/>
      <protection locked="0"/>
    </xf>
    <xf numFmtId="2" fontId="42" fillId="61" borderId="22" xfId="1349" applyNumberFormat="1" applyFont="1" applyFill="1" applyBorder="1" applyAlignment="1">
      <alignment horizontal="center" vertical="center" wrapText="1"/>
      <protection/>
    </xf>
    <xf numFmtId="2" fontId="28" fillId="62" borderId="45" xfId="1460" applyNumberFormat="1" applyFont="1" applyFill="1" applyBorder="1" applyAlignment="1" applyProtection="1">
      <alignment horizontal="center" vertical="center"/>
      <protection locked="0"/>
    </xf>
    <xf numFmtId="1" fontId="42" fillId="60" borderId="22" xfId="1221" applyNumberFormat="1" applyFont="1" applyFill="1" applyBorder="1" applyAlignment="1">
      <alignment horizontal="center" vertical="center"/>
    </xf>
    <xf numFmtId="2" fontId="28" fillId="59" borderId="22" xfId="1460" applyNumberFormat="1" applyFont="1" applyFill="1" applyBorder="1" applyAlignment="1" applyProtection="1">
      <alignment horizontal="center" vertical="center"/>
      <protection locked="0"/>
    </xf>
    <xf numFmtId="2" fontId="28" fillId="59" borderId="45" xfId="1460" applyNumberFormat="1" applyFont="1" applyFill="1" applyBorder="1" applyAlignment="1" applyProtection="1">
      <alignment horizontal="center" vertical="center"/>
      <protection locked="0"/>
    </xf>
    <xf numFmtId="204" fontId="45" fillId="59" borderId="22" xfId="1349" applyNumberFormat="1" applyFont="1" applyFill="1" applyBorder="1" applyAlignment="1">
      <alignment horizontal="center" vertical="center"/>
      <protection/>
    </xf>
    <xf numFmtId="4" fontId="42" fillId="59" borderId="22" xfId="1349" applyNumberFormat="1" applyFont="1" applyFill="1" applyBorder="1" applyAlignment="1">
      <alignment horizontal="center" vertical="center"/>
      <protection/>
    </xf>
    <xf numFmtId="2" fontId="28" fillId="63" borderId="22" xfId="1460" applyNumberFormat="1" applyFont="1" applyFill="1" applyBorder="1" applyAlignment="1">
      <alignment horizontal="center" vertical="center"/>
      <protection/>
    </xf>
    <xf numFmtId="204" fontId="45" fillId="0" borderId="22" xfId="1349" applyNumberFormat="1" applyFont="1" applyFill="1" applyBorder="1" applyAlignment="1">
      <alignment horizontal="center"/>
      <protection/>
    </xf>
    <xf numFmtId="0" fontId="42" fillId="62" borderId="22" xfId="1349" applyFont="1" applyFill="1" applyBorder="1" applyAlignment="1">
      <alignment horizontal="center"/>
      <protection/>
    </xf>
    <xf numFmtId="4" fontId="54" fillId="62" borderId="0" xfId="1349" applyNumberFormat="1" applyFont="1" applyFill="1" applyBorder="1" applyAlignment="1">
      <alignment horizontal="center"/>
      <protection/>
    </xf>
    <xf numFmtId="204" fontId="42" fillId="0" borderId="22" xfId="1221" applyNumberFormat="1" applyFont="1" applyFill="1" applyBorder="1" applyAlignment="1">
      <alignment horizontal="center" vertical="center"/>
    </xf>
    <xf numFmtId="43" fontId="42" fillId="62" borderId="22" xfId="1221" applyFont="1" applyFill="1" applyBorder="1" applyAlignment="1">
      <alignment horizontal="center"/>
    </xf>
    <xf numFmtId="0" fontId="42" fillId="0" borderId="23" xfId="1349" applyFont="1" applyFill="1" applyBorder="1" applyAlignment="1">
      <alignment horizontal="center"/>
      <protection/>
    </xf>
    <xf numFmtId="2" fontId="28" fillId="0" borderId="22" xfId="0" applyNumberFormat="1" applyFont="1" applyBorder="1" applyAlignment="1" quotePrefix="1">
      <alignment horizontal="center" vertical="center"/>
    </xf>
    <xf numFmtId="203" fontId="45" fillId="59" borderId="22" xfId="1221" applyNumberFormat="1" applyFont="1" applyFill="1" applyBorder="1" applyAlignment="1">
      <alignment horizontal="center" vertical="center"/>
    </xf>
    <xf numFmtId="4" fontId="43" fillId="4" borderId="22" xfId="1349" applyNumberFormat="1" applyFont="1" applyFill="1" applyBorder="1" applyAlignment="1">
      <alignment horizontal="center" vertical="center"/>
      <protection/>
    </xf>
    <xf numFmtId="3" fontId="42" fillId="61" borderId="22" xfId="1349" applyNumberFormat="1" applyFont="1" applyFill="1" applyBorder="1" applyAlignment="1">
      <alignment horizontal="center" vertical="center"/>
      <protection/>
    </xf>
    <xf numFmtId="43" fontId="42" fillId="61" borderId="22" xfId="1221" applyFont="1" applyFill="1" applyBorder="1" applyAlignment="1">
      <alignment horizontal="center" vertical="center"/>
    </xf>
    <xf numFmtId="204" fontId="42" fillId="61" borderId="22" xfId="1221" applyNumberFormat="1" applyFont="1" applyFill="1" applyBorder="1" applyAlignment="1">
      <alignment horizontal="center" vertical="center"/>
    </xf>
    <xf numFmtId="1" fontId="45" fillId="0" borderId="22" xfId="1349" applyNumberFormat="1" applyFont="1" applyFill="1" applyBorder="1" applyAlignment="1">
      <alignment horizontal="center"/>
      <protection/>
    </xf>
    <xf numFmtId="43" fontId="42" fillId="0" borderId="22" xfId="980" applyNumberFormat="1" applyFont="1" applyFill="1" applyBorder="1" applyAlignment="1">
      <alignment horizontal="center" vertical="center"/>
    </xf>
    <xf numFmtId="0" fontId="56" fillId="0" borderId="0" xfId="1349" applyFont="1" applyFill="1" applyBorder="1" applyAlignment="1">
      <alignment horizontal="left"/>
      <protection/>
    </xf>
    <xf numFmtId="0" fontId="57" fillId="0" borderId="0" xfId="1349" applyFont="1" applyFill="1" applyBorder="1" applyAlignment="1">
      <alignment horizontal="center"/>
      <protection/>
    </xf>
    <xf numFmtId="0" fontId="57" fillId="0" borderId="0" xfId="1349" applyFont="1" applyFill="1" applyBorder="1" applyAlignment="1">
      <alignment horizontal="left"/>
      <protection/>
    </xf>
    <xf numFmtId="4" fontId="57" fillId="0" borderId="0" xfId="1349" applyNumberFormat="1" applyFont="1" applyFill="1" applyBorder="1" applyAlignment="1">
      <alignment horizontal="left"/>
      <protection/>
    </xf>
    <xf numFmtId="3" fontId="57" fillId="0" borderId="0" xfId="1349" applyNumberFormat="1" applyFont="1" applyFill="1" applyBorder="1" applyAlignment="1">
      <alignment horizontal="center"/>
      <protection/>
    </xf>
    <xf numFmtId="4" fontId="57" fillId="0" borderId="0" xfId="1349" applyNumberFormat="1" applyFont="1" applyFill="1" applyBorder="1" applyAlignment="1">
      <alignment horizontal="center"/>
      <protection/>
    </xf>
    <xf numFmtId="3" fontId="57" fillId="0" borderId="0" xfId="1221" applyNumberFormat="1" applyFont="1" applyFill="1" applyBorder="1" applyAlignment="1">
      <alignment horizontal="center"/>
    </xf>
    <xf numFmtId="43" fontId="57" fillId="0" borderId="0" xfId="1221" applyFont="1" applyFill="1" applyBorder="1" applyAlignment="1">
      <alignment horizontal="center"/>
    </xf>
    <xf numFmtId="203" fontId="57" fillId="0" borderId="0" xfId="1221" applyNumberFormat="1" applyFont="1" applyFill="1" applyBorder="1" applyAlignment="1">
      <alignment horizontal="center" vertical="center"/>
    </xf>
    <xf numFmtId="203" fontId="57" fillId="0" borderId="0" xfId="1221" applyNumberFormat="1" applyFont="1" applyFill="1" applyBorder="1" applyAlignment="1">
      <alignment horizontal="center"/>
    </xf>
    <xf numFmtId="2" fontId="57" fillId="0" borderId="0" xfId="1349" applyNumberFormat="1" applyFont="1" applyFill="1" applyBorder="1" applyAlignment="1">
      <alignment horizontal="center"/>
      <protection/>
    </xf>
    <xf numFmtId="2" fontId="58" fillId="0" borderId="0" xfId="1349" applyNumberFormat="1" applyFont="1" applyFill="1" applyBorder="1" applyAlignment="1">
      <alignment horizontal="center"/>
      <protection/>
    </xf>
    <xf numFmtId="4" fontId="58" fillId="0" borderId="0" xfId="1349" applyNumberFormat="1" applyFont="1" applyFill="1" applyBorder="1" applyAlignment="1">
      <alignment horizontal="center"/>
      <protection/>
    </xf>
    <xf numFmtId="0" fontId="32" fillId="0" borderId="0" xfId="1349" applyFont="1" applyFill="1" applyBorder="1" applyAlignment="1">
      <alignment horizontal="center"/>
      <protection/>
    </xf>
    <xf numFmtId="2" fontId="32" fillId="0" borderId="22" xfId="1349" applyNumberFormat="1" applyFont="1" applyFill="1" applyBorder="1" applyAlignment="1">
      <alignment horizontal="center"/>
      <protection/>
    </xf>
    <xf numFmtId="3" fontId="32" fillId="0" borderId="22" xfId="1349" applyNumberFormat="1" applyFont="1" applyFill="1" applyBorder="1" applyAlignment="1">
      <alignment horizontal="center"/>
      <protection/>
    </xf>
    <xf numFmtId="0" fontId="57" fillId="0" borderId="0" xfId="1349" applyFont="1" applyFill="1" applyAlignment="1">
      <alignment/>
      <protection/>
    </xf>
    <xf numFmtId="4" fontId="57" fillId="0" borderId="0" xfId="1349" applyNumberFormat="1" applyFont="1" applyFill="1" applyAlignment="1">
      <alignment horizontal="center"/>
      <protection/>
    </xf>
    <xf numFmtId="4" fontId="58" fillId="0" borderId="0" xfId="1349" applyNumberFormat="1" applyFont="1" applyFill="1" applyAlignment="1">
      <alignment horizontal="center"/>
      <protection/>
    </xf>
    <xf numFmtId="2" fontId="59" fillId="0" borderId="0" xfId="1349" applyNumberFormat="1" applyFont="1" applyFill="1" applyBorder="1" applyAlignment="1">
      <alignment horizontal="center"/>
      <protection/>
    </xf>
    <xf numFmtId="3" fontId="32" fillId="0" borderId="0" xfId="1349" applyNumberFormat="1" applyFont="1" applyFill="1" applyBorder="1" applyAlignment="1">
      <alignment horizontal="center"/>
      <protection/>
    </xf>
    <xf numFmtId="0" fontId="32" fillId="0" borderId="0" xfId="1349" applyFont="1" applyFill="1" applyAlignment="1">
      <alignment/>
      <protection/>
    </xf>
    <xf numFmtId="4" fontId="32" fillId="0" borderId="0" xfId="1349" applyNumberFormat="1" applyFont="1" applyFill="1" applyAlignment="1">
      <alignment horizontal="center"/>
      <protection/>
    </xf>
    <xf numFmtId="4" fontId="59" fillId="0" borderId="0" xfId="1349" applyNumberFormat="1" applyFont="1" applyFill="1" applyAlignment="1">
      <alignment horizontal="center"/>
      <protection/>
    </xf>
    <xf numFmtId="0" fontId="32" fillId="0" borderId="0" xfId="1349" applyFont="1" applyFill="1" applyAlignment="1">
      <alignment horizontal="left"/>
      <protection/>
    </xf>
    <xf numFmtId="4" fontId="32" fillId="0" borderId="0" xfId="1349" applyNumberFormat="1" applyFont="1" applyFill="1" applyAlignment="1">
      <alignment horizontal="left"/>
      <protection/>
    </xf>
    <xf numFmtId="3" fontId="32" fillId="0" borderId="0" xfId="1349" applyNumberFormat="1" applyFont="1" applyFill="1" applyAlignment="1">
      <alignment horizontal="center"/>
      <protection/>
    </xf>
    <xf numFmtId="0" fontId="32" fillId="0" borderId="0" xfId="1349" applyFont="1" applyFill="1" applyAlignment="1">
      <alignment horizontal="center" vertical="center"/>
      <protection/>
    </xf>
    <xf numFmtId="203" fontId="32" fillId="0" borderId="0" xfId="1221" applyNumberFormat="1" applyFont="1" applyFill="1" applyAlignment="1">
      <alignment horizontal="center"/>
    </xf>
    <xf numFmtId="0" fontId="60" fillId="0" borderId="0" xfId="1349" applyFont="1" applyFill="1" applyAlignment="1">
      <alignment horizontal="center"/>
      <protection/>
    </xf>
    <xf numFmtId="2" fontId="61" fillId="0" borderId="0" xfId="1349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2" fillId="0" borderId="0" xfId="1349" applyNumberFormat="1" applyFont="1" applyFill="1" applyAlignment="1">
      <alignment horizontal="center"/>
      <protection/>
    </xf>
    <xf numFmtId="0" fontId="24" fillId="0" borderId="0" xfId="1349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349" applyNumberFormat="1" applyFont="1" applyFill="1" applyBorder="1" applyAlignment="1">
      <alignment horizontal="center" vertical="center"/>
      <protection/>
    </xf>
    <xf numFmtId="4" fontId="61" fillId="63" borderId="22" xfId="1349" applyNumberFormat="1" applyFont="1" applyFill="1" applyBorder="1" applyAlignment="1">
      <alignment horizontal="center" vertical="center"/>
      <protection/>
    </xf>
    <xf numFmtId="3" fontId="61" fillId="0" borderId="22" xfId="1349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98" fillId="0" borderId="0" xfId="1349" applyNumberFormat="1" applyFont="1" applyFill="1" applyAlignment="1">
      <alignment horizontal="center"/>
      <protection/>
    </xf>
    <xf numFmtId="0" fontId="25" fillId="0" borderId="48" xfId="0" applyFont="1" applyBorder="1" applyAlignment="1">
      <alignment/>
    </xf>
    <xf numFmtId="4" fontId="25" fillId="0" borderId="48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98" fillId="0" borderId="0" xfId="1349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349" applyNumberFormat="1" applyFont="1" applyFill="1" applyBorder="1" applyAlignment="1">
      <alignment horizontal="center" vertical="center"/>
      <protection/>
    </xf>
    <xf numFmtId="4" fontId="61" fillId="63" borderId="21" xfId="1349" applyNumberFormat="1" applyFont="1" applyFill="1" applyBorder="1" applyAlignment="1">
      <alignment horizontal="center" vertical="center"/>
      <protection/>
    </xf>
    <xf numFmtId="3" fontId="61" fillId="0" borderId="21" xfId="1349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2" fillId="0" borderId="0" xfId="1460" applyNumberFormat="1" applyFont="1" applyFill="1" applyBorder="1" applyAlignment="1">
      <alignment horizontal="center" vertical="center"/>
      <protection/>
    </xf>
    <xf numFmtId="4" fontId="32" fillId="0" borderId="0" xfId="1349" applyNumberFormat="1" applyFont="1" applyFill="1" applyBorder="1" applyAlignment="1">
      <alignment horizontal="center"/>
      <protection/>
    </xf>
    <xf numFmtId="194" fontId="32" fillId="0" borderId="0" xfId="98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/>
    </xf>
    <xf numFmtId="4" fontId="25" fillId="0" borderId="22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349" applyFont="1" applyFill="1" applyAlignment="1">
      <alignment horizontal="center"/>
      <protection/>
    </xf>
    <xf numFmtId="0" fontId="25" fillId="0" borderId="0" xfId="1349" applyFont="1" applyFill="1" applyAlignment="1">
      <alignment horizontal="left"/>
      <protection/>
    </xf>
    <xf numFmtId="0" fontId="61" fillId="0" borderId="0" xfId="1349" applyFont="1" applyFill="1" applyAlignment="1">
      <alignment horizontal="center"/>
      <protection/>
    </xf>
    <xf numFmtId="0" fontId="55" fillId="0" borderId="0" xfId="1349" applyFont="1" applyFill="1" applyBorder="1" applyAlignment="1">
      <alignment horizontal="center"/>
      <protection/>
    </xf>
    <xf numFmtId="4" fontId="61" fillId="0" borderId="0" xfId="1349" applyNumberFormat="1" applyFont="1" applyFill="1" applyAlignment="1">
      <alignment horizontal="center"/>
      <protection/>
    </xf>
    <xf numFmtId="4" fontId="99" fillId="0" borderId="0" xfId="1349" applyNumberFormat="1" applyFont="1" applyFill="1" applyAlignment="1">
      <alignment horizontal="left"/>
      <protection/>
    </xf>
    <xf numFmtId="0" fontId="99" fillId="0" borderId="0" xfId="1349" applyFont="1" applyFill="1" applyAlignment="1">
      <alignment horizontal="left"/>
      <protection/>
    </xf>
    <xf numFmtId="0" fontId="61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29" fillId="0" borderId="0" xfId="1349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29" fillId="0" borderId="19" xfId="0" applyNumberFormat="1" applyFont="1" applyBorder="1" applyAlignment="1">
      <alignment horizontal="center"/>
    </xf>
    <xf numFmtId="15" fontId="29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4" fontId="29" fillId="0" borderId="0" xfId="1349" applyNumberFormat="1" applyFont="1" applyFill="1" applyBorder="1" applyAlignment="1">
      <alignment horizontal="center" vertical="center"/>
      <protection/>
    </xf>
    <xf numFmtId="3" fontId="29" fillId="0" borderId="0" xfId="1349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2" fillId="0" borderId="0" xfId="1349" applyFont="1" applyFill="1" applyBorder="1" applyAlignment="1">
      <alignment horizontal="center" vertical="center"/>
      <protection/>
    </xf>
    <xf numFmtId="4" fontId="100" fillId="0" borderId="0" xfId="1349" applyNumberFormat="1" applyFont="1" applyFill="1" applyBorder="1" applyAlignment="1">
      <alignment horizontal="center" vertical="center"/>
      <protection/>
    </xf>
    <xf numFmtId="3" fontId="99" fillId="0" borderId="0" xfId="1349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349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349" applyFont="1" applyFill="1" applyAlignment="1">
      <alignment horizontal="left"/>
      <protection/>
    </xf>
    <xf numFmtId="0" fontId="38" fillId="0" borderId="0" xfId="1349" applyFont="1" applyFill="1" applyAlignment="1">
      <alignment horizontal="left"/>
      <protection/>
    </xf>
    <xf numFmtId="0" fontId="99" fillId="0" borderId="0" xfId="1349" applyFont="1" applyFill="1" applyAlignment="1">
      <alignment horizontal="left"/>
      <protection/>
    </xf>
    <xf numFmtId="4" fontId="96" fillId="57" borderId="22" xfId="1349" applyNumberFormat="1" applyFont="1" applyFill="1" applyBorder="1" applyAlignment="1">
      <alignment horizontal="center" vertical="center"/>
      <protection/>
    </xf>
    <xf numFmtId="4" fontId="96" fillId="62" borderId="22" xfId="1349" applyNumberFormat="1" applyFont="1" applyFill="1" applyBorder="1" applyAlignment="1">
      <alignment horizontal="center" vertical="center"/>
      <protection/>
    </xf>
    <xf numFmtId="2" fontId="43" fillId="0" borderId="22" xfId="1221" applyNumberFormat="1" applyFont="1" applyFill="1" applyBorder="1" applyAlignment="1">
      <alignment horizontal="center" vertical="center"/>
    </xf>
    <xf numFmtId="2" fontId="42" fillId="0" borderId="22" xfId="1138" applyNumberFormat="1" applyFont="1" applyFill="1" applyBorder="1" applyAlignment="1">
      <alignment horizontal="center" vertical="center"/>
    </xf>
    <xf numFmtId="2" fontId="49" fillId="0" borderId="22" xfId="980" applyNumberFormat="1" applyFont="1" applyFill="1" applyBorder="1" applyAlignment="1">
      <alignment horizontal="center" vertical="center"/>
    </xf>
    <xf numFmtId="2" fontId="42" fillId="63" borderId="22" xfId="1460" applyNumberFormat="1" applyFont="1" applyFill="1" applyBorder="1" applyAlignment="1">
      <alignment horizontal="center" vertical="center"/>
      <protection/>
    </xf>
    <xf numFmtId="2" fontId="42" fillId="69" borderId="22" xfId="1221" applyNumberFormat="1" applyFont="1" applyFill="1" applyBorder="1" applyAlignment="1">
      <alignment horizontal="center" vertical="center"/>
    </xf>
    <xf numFmtId="2" fontId="42" fillId="69" borderId="22" xfId="980" applyNumberFormat="1" applyFont="1" applyFill="1" applyBorder="1" applyAlignment="1">
      <alignment horizontal="center" vertical="center"/>
    </xf>
    <xf numFmtId="4" fontId="96" fillId="4" borderId="22" xfId="1349" applyNumberFormat="1" applyFont="1" applyFill="1" applyBorder="1" applyAlignment="1">
      <alignment horizontal="center"/>
      <protection/>
    </xf>
    <xf numFmtId="2" fontId="101" fillId="4" borderId="22" xfId="1349" applyNumberFormat="1" applyFont="1" applyFill="1" applyBorder="1" applyAlignment="1">
      <alignment horizontal="center" vertical="center"/>
      <protection/>
    </xf>
    <xf numFmtId="0" fontId="96" fillId="0" borderId="22" xfId="1349" applyFont="1" applyFill="1" applyBorder="1" applyAlignment="1">
      <alignment horizontal="center" vertical="center"/>
      <protection/>
    </xf>
    <xf numFmtId="2" fontId="101" fillId="58" borderId="22" xfId="1349" applyNumberFormat="1" applyFont="1" applyFill="1" applyBorder="1" applyAlignment="1">
      <alignment horizontal="center" vertical="center"/>
      <protection/>
    </xf>
    <xf numFmtId="2" fontId="101" fillId="59" borderId="22" xfId="1349" applyNumberFormat="1" applyFont="1" applyFill="1" applyBorder="1" applyAlignment="1">
      <alignment horizontal="center" vertical="center"/>
      <protection/>
    </xf>
    <xf numFmtId="194" fontId="96" fillId="0" borderId="22" xfId="980" applyNumberFormat="1" applyFont="1" applyFill="1" applyBorder="1" applyAlignment="1">
      <alignment horizontal="center" vertical="center"/>
    </xf>
    <xf numFmtId="4" fontId="96" fillId="69" borderId="22" xfId="1349" applyNumberFormat="1" applyFont="1" applyFill="1" applyBorder="1" applyAlignment="1">
      <alignment horizontal="center" vertical="center"/>
      <protection/>
    </xf>
    <xf numFmtId="4" fontId="96" fillId="0" borderId="22" xfId="1349" applyNumberFormat="1" applyFont="1" applyFill="1" applyBorder="1" applyAlignment="1">
      <alignment horizontal="center" vertical="center" wrapText="1" shrinkToFit="1"/>
      <protection/>
    </xf>
    <xf numFmtId="203" fontId="96" fillId="0" borderId="22" xfId="1221" applyNumberFormat="1" applyFont="1" applyFill="1" applyBorder="1" applyAlignment="1">
      <alignment horizontal="center" vertical="center"/>
    </xf>
    <xf numFmtId="0" fontId="42" fillId="0" borderId="49" xfId="1349" applyFont="1" applyFill="1" applyBorder="1" applyAlignment="1">
      <alignment horizontal="center"/>
      <protection/>
    </xf>
    <xf numFmtId="0" fontId="24" fillId="0" borderId="0" xfId="1349" applyFont="1" applyFill="1" applyBorder="1" applyAlignment="1">
      <alignment horizontal="center"/>
      <protection/>
    </xf>
    <xf numFmtId="0" fontId="24" fillId="4" borderId="45" xfId="1349" applyFont="1" applyFill="1" applyBorder="1" applyAlignment="1">
      <alignment horizontal="center" vertical="center"/>
      <protection/>
    </xf>
    <xf numFmtId="0" fontId="24" fillId="4" borderId="49" xfId="1349" applyFont="1" applyFill="1" applyBorder="1" applyAlignment="1">
      <alignment horizontal="center" vertical="center"/>
      <protection/>
    </xf>
    <xf numFmtId="0" fontId="44" fillId="59" borderId="45" xfId="1349" applyFont="1" applyFill="1" applyBorder="1" applyAlignment="1">
      <alignment horizontal="center" vertical="center"/>
      <protection/>
    </xf>
    <xf numFmtId="0" fontId="44" fillId="59" borderId="49" xfId="1349" applyFont="1" applyFill="1" applyBorder="1" applyAlignment="1">
      <alignment horizontal="center" vertical="center"/>
      <protection/>
    </xf>
    <xf numFmtId="0" fontId="24" fillId="59" borderId="45" xfId="1349" applyFont="1" applyFill="1" applyBorder="1" applyAlignment="1">
      <alignment horizontal="center" vertical="center"/>
      <protection/>
    </xf>
    <xf numFmtId="0" fontId="24" fillId="59" borderId="49" xfId="1349" applyFont="1" applyFill="1" applyBorder="1" applyAlignment="1">
      <alignment horizontal="center" vertical="center"/>
      <protection/>
    </xf>
    <xf numFmtId="4" fontId="30" fillId="5" borderId="45" xfId="1349" applyNumberFormat="1" applyFont="1" applyFill="1" applyBorder="1" applyAlignment="1">
      <alignment horizontal="center"/>
      <protection/>
    </xf>
    <xf numFmtId="4" fontId="30" fillId="5" borderId="25" xfId="1349" applyNumberFormat="1" applyFont="1" applyFill="1" applyBorder="1" applyAlignment="1">
      <alignment horizontal="center"/>
      <protection/>
    </xf>
    <xf numFmtId="4" fontId="30" fillId="5" borderId="49" xfId="1349" applyNumberFormat="1" applyFont="1" applyFill="1" applyBorder="1" applyAlignment="1">
      <alignment horizontal="center"/>
      <protection/>
    </xf>
    <xf numFmtId="0" fontId="65" fillId="0" borderId="50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0" fillId="57" borderId="45" xfId="1349" applyNumberFormat="1" applyFont="1" applyFill="1" applyBorder="1" applyAlignment="1">
      <alignment horizontal="center"/>
      <protection/>
    </xf>
    <xf numFmtId="4" fontId="30" fillId="57" borderId="25" xfId="1349" applyNumberFormat="1" applyFont="1" applyFill="1" applyBorder="1" applyAlignment="1">
      <alignment horizontal="center"/>
      <protection/>
    </xf>
    <xf numFmtId="4" fontId="30" fillId="57" borderId="49" xfId="1349" applyNumberFormat="1" applyFont="1" applyFill="1" applyBorder="1" applyAlignment="1">
      <alignment horizontal="center"/>
      <protection/>
    </xf>
    <xf numFmtId="0" fontId="42" fillId="0" borderId="27" xfId="1349" applyFont="1" applyFill="1" applyBorder="1" applyAlignment="1">
      <alignment horizontal="left"/>
      <protection/>
    </xf>
    <xf numFmtId="0" fontId="42" fillId="0" borderId="0" xfId="1349" applyFont="1" applyFill="1" applyBorder="1" applyAlignment="1">
      <alignment horizontal="left"/>
      <protection/>
    </xf>
    <xf numFmtId="0" fontId="44" fillId="0" borderId="53" xfId="1349" applyFont="1" applyFill="1" applyBorder="1" applyAlignment="1">
      <alignment horizontal="left"/>
      <protection/>
    </xf>
    <xf numFmtId="0" fontId="44" fillId="0" borderId="54" xfId="1349" applyFont="1" applyFill="1" applyBorder="1" applyAlignment="1">
      <alignment horizontal="left"/>
      <protection/>
    </xf>
    <xf numFmtId="0" fontId="44" fillId="0" borderId="27" xfId="1349" applyFont="1" applyFill="1" applyBorder="1" applyAlignment="1">
      <alignment horizontal="left"/>
      <protection/>
    </xf>
    <xf numFmtId="0" fontId="44" fillId="0" borderId="0" xfId="1349" applyFont="1" applyFill="1" applyBorder="1" applyAlignment="1">
      <alignment horizontal="left"/>
      <protection/>
    </xf>
    <xf numFmtId="0" fontId="65" fillId="0" borderId="0" xfId="0" applyFont="1" applyBorder="1" applyAlignment="1">
      <alignment horizontal="center"/>
    </xf>
    <xf numFmtId="0" fontId="30" fillId="54" borderId="19" xfId="1349" applyFont="1" applyFill="1" applyBorder="1" applyAlignment="1">
      <alignment horizontal="center" vertical="center"/>
      <protection/>
    </xf>
    <xf numFmtId="0" fontId="30" fillId="54" borderId="20" xfId="1349" applyFont="1" applyFill="1" applyBorder="1" applyAlignment="1">
      <alignment horizontal="center" vertical="center"/>
      <protection/>
    </xf>
    <xf numFmtId="0" fontId="30" fillId="54" borderId="21" xfId="1349" applyFont="1" applyFill="1" applyBorder="1" applyAlignment="1">
      <alignment horizontal="center" vertical="center"/>
      <protection/>
    </xf>
    <xf numFmtId="0" fontId="30" fillId="54" borderId="19" xfId="1349" applyFont="1" applyFill="1" applyBorder="1" applyAlignment="1">
      <alignment horizontal="center" vertical="center" wrapText="1"/>
      <protection/>
    </xf>
    <xf numFmtId="0" fontId="30" fillId="54" borderId="20" xfId="1349" applyFont="1" applyFill="1" applyBorder="1" applyAlignment="1">
      <alignment horizontal="center" vertical="center" wrapText="1"/>
      <protection/>
    </xf>
    <xf numFmtId="0" fontId="30" fillId="54" borderId="21" xfId="1349" applyFont="1" applyFill="1" applyBorder="1" applyAlignment="1">
      <alignment horizontal="center" vertical="center" wrapText="1"/>
      <protection/>
    </xf>
    <xf numFmtId="4" fontId="30" fillId="54" borderId="50" xfId="1349" applyNumberFormat="1" applyFont="1" applyFill="1" applyBorder="1" applyAlignment="1">
      <alignment horizontal="center" vertical="center"/>
      <protection/>
    </xf>
    <xf numFmtId="4" fontId="30" fillId="54" borderId="47" xfId="1349" applyNumberFormat="1" applyFont="1" applyFill="1" applyBorder="1" applyAlignment="1">
      <alignment horizontal="center" vertical="center"/>
      <protection/>
    </xf>
    <xf numFmtId="4" fontId="30" fillId="54" borderId="55" xfId="1349" applyNumberFormat="1" applyFont="1" applyFill="1" applyBorder="1" applyAlignment="1">
      <alignment horizontal="center" vertical="center"/>
      <protection/>
    </xf>
    <xf numFmtId="4" fontId="30" fillId="54" borderId="56" xfId="1349" applyNumberFormat="1" applyFont="1" applyFill="1" applyBorder="1" applyAlignment="1">
      <alignment horizontal="center" vertical="center"/>
      <protection/>
    </xf>
    <xf numFmtId="4" fontId="30" fillId="54" borderId="50" xfId="1349" applyNumberFormat="1" applyFont="1" applyFill="1" applyBorder="1" applyAlignment="1">
      <alignment horizontal="center" vertical="center" wrapText="1"/>
      <protection/>
    </xf>
    <xf numFmtId="4" fontId="30" fillId="54" borderId="47" xfId="1349" applyNumberFormat="1" applyFont="1" applyFill="1" applyBorder="1" applyAlignment="1">
      <alignment horizontal="center" vertical="center" wrapText="1"/>
      <protection/>
    </xf>
    <xf numFmtId="4" fontId="30" fillId="54" borderId="55" xfId="1349" applyNumberFormat="1" applyFont="1" applyFill="1" applyBorder="1" applyAlignment="1">
      <alignment horizontal="center" vertical="center" wrapText="1"/>
      <protection/>
    </xf>
    <xf numFmtId="4" fontId="30" fillId="54" borderId="56" xfId="1349" applyNumberFormat="1" applyFont="1" applyFill="1" applyBorder="1" applyAlignment="1">
      <alignment horizontal="center" vertical="center" wrapText="1"/>
      <protection/>
    </xf>
    <xf numFmtId="4" fontId="30" fillId="13" borderId="45" xfId="1349" applyNumberFormat="1" applyFont="1" applyFill="1" applyBorder="1" applyAlignment="1">
      <alignment horizontal="center"/>
      <protection/>
    </xf>
    <xf numFmtId="4" fontId="30" fillId="13" borderId="25" xfId="1349" applyNumberFormat="1" applyFont="1" applyFill="1" applyBorder="1" applyAlignment="1">
      <alignment horizontal="center"/>
      <protection/>
    </xf>
    <xf numFmtId="4" fontId="30" fillId="13" borderId="49" xfId="1349" applyNumberFormat="1" applyFont="1" applyFill="1" applyBorder="1" applyAlignment="1">
      <alignment horizontal="center"/>
      <protection/>
    </xf>
    <xf numFmtId="0" fontId="32" fillId="54" borderId="50" xfId="1349" applyFont="1" applyFill="1" applyBorder="1" applyAlignment="1">
      <alignment horizontal="center" vertical="center"/>
      <protection/>
    </xf>
    <xf numFmtId="0" fontId="32" fillId="54" borderId="51" xfId="1349" applyFont="1" applyFill="1" applyBorder="1" applyAlignment="1">
      <alignment horizontal="center" vertical="center"/>
      <protection/>
    </xf>
    <xf numFmtId="0" fontId="32" fillId="54" borderId="55" xfId="1349" applyFont="1" applyFill="1" applyBorder="1" applyAlignment="1">
      <alignment horizontal="center" vertical="center"/>
      <protection/>
    </xf>
    <xf numFmtId="4" fontId="30" fillId="7" borderId="45" xfId="1349" applyNumberFormat="1" applyFont="1" applyFill="1" applyBorder="1" applyAlignment="1">
      <alignment horizontal="center"/>
      <protection/>
    </xf>
    <xf numFmtId="4" fontId="30" fillId="7" borderId="25" xfId="1349" applyNumberFormat="1" applyFont="1" applyFill="1" applyBorder="1" applyAlignment="1">
      <alignment horizontal="center"/>
      <protection/>
    </xf>
    <xf numFmtId="4" fontId="30" fillId="7" borderId="49" xfId="1349" applyNumberFormat="1" applyFont="1" applyFill="1" applyBorder="1" applyAlignment="1">
      <alignment horizontal="center"/>
      <protection/>
    </xf>
    <xf numFmtId="4" fontId="32" fillId="57" borderId="22" xfId="1349" applyNumberFormat="1" applyFont="1" applyFill="1" applyBorder="1" applyAlignment="1">
      <alignment horizontal="center"/>
      <protection/>
    </xf>
    <xf numFmtId="0" fontId="40" fillId="0" borderId="53" xfId="1349" applyFont="1" applyFill="1" applyBorder="1" applyAlignment="1">
      <alignment horizontal="left"/>
      <protection/>
    </xf>
    <xf numFmtId="0" fontId="40" fillId="0" borderId="54" xfId="1349" applyFont="1" applyFill="1" applyBorder="1" applyAlignment="1">
      <alignment horizontal="left"/>
      <protection/>
    </xf>
    <xf numFmtId="0" fontId="31" fillId="54" borderId="19" xfId="1349" applyFont="1" applyFill="1" applyBorder="1" applyAlignment="1">
      <alignment horizontal="center" vertical="center"/>
      <protection/>
    </xf>
    <xf numFmtId="0" fontId="31" fillId="54" borderId="20" xfId="1349" applyFont="1" applyFill="1" applyBorder="1" applyAlignment="1">
      <alignment horizontal="center" vertical="center"/>
      <protection/>
    </xf>
    <xf numFmtId="0" fontId="31" fillId="54" borderId="21" xfId="1349" applyFont="1" applyFill="1" applyBorder="1" applyAlignment="1">
      <alignment horizontal="center" vertical="center"/>
      <protection/>
    </xf>
    <xf numFmtId="0" fontId="44" fillId="63" borderId="53" xfId="1349" applyFont="1" applyFill="1" applyBorder="1" applyAlignment="1">
      <alignment horizontal="left"/>
      <protection/>
    </xf>
    <xf numFmtId="0" fontId="44" fillId="63" borderId="54" xfId="1349" applyFont="1" applyFill="1" applyBorder="1" applyAlignment="1">
      <alignment horizontal="left"/>
      <protection/>
    </xf>
    <xf numFmtId="0" fontId="43" fillId="0" borderId="36" xfId="1349" applyFont="1" applyFill="1" applyBorder="1" applyAlignment="1">
      <alignment horizontal="center" vertical="center"/>
      <protection/>
    </xf>
    <xf numFmtId="0" fontId="43" fillId="0" borderId="43" xfId="1349" applyFont="1" applyFill="1" applyBorder="1" applyAlignment="1">
      <alignment horizontal="center" vertical="center"/>
      <protection/>
    </xf>
    <xf numFmtId="0" fontId="43" fillId="0" borderId="37" xfId="1349" applyFont="1" applyFill="1" applyBorder="1" applyAlignment="1">
      <alignment horizontal="center" vertical="center"/>
      <protection/>
    </xf>
    <xf numFmtId="0" fontId="44" fillId="0" borderId="57" xfId="1349" applyFont="1" applyFill="1" applyBorder="1" applyAlignment="1">
      <alignment horizontal="left"/>
      <protection/>
    </xf>
    <xf numFmtId="0" fontId="44" fillId="0" borderId="41" xfId="1349" applyFont="1" applyFill="1" applyBorder="1" applyAlignment="1">
      <alignment horizontal="left"/>
      <protection/>
    </xf>
    <xf numFmtId="0" fontId="44" fillId="0" borderId="42" xfId="1349" applyFont="1" applyFill="1" applyBorder="1" applyAlignment="1">
      <alignment horizontal="left"/>
      <protection/>
    </xf>
    <xf numFmtId="0" fontId="42" fillId="0" borderId="34" xfId="1349" applyFont="1" applyFill="1" applyBorder="1" applyAlignment="1">
      <alignment horizontal="left"/>
      <protection/>
    </xf>
    <xf numFmtId="2" fontId="42" fillId="0" borderId="19" xfId="980" applyNumberFormat="1" applyFont="1" applyFill="1" applyBorder="1" applyAlignment="1">
      <alignment horizontal="center" vertical="center"/>
    </xf>
    <xf numFmtId="2" fontId="42" fillId="0" borderId="21" xfId="980" applyNumberFormat="1" applyFont="1" applyFill="1" applyBorder="1" applyAlignment="1">
      <alignment horizontal="center" vertical="center"/>
    </xf>
    <xf numFmtId="0" fontId="43" fillId="57" borderId="36" xfId="1349" applyFont="1" applyFill="1" applyBorder="1" applyAlignment="1">
      <alignment horizontal="left" vertical="center"/>
      <protection/>
    </xf>
    <xf numFmtId="0" fontId="43" fillId="57" borderId="43" xfId="1349" applyFont="1" applyFill="1" applyBorder="1" applyAlignment="1">
      <alignment horizontal="left" vertical="center"/>
      <protection/>
    </xf>
    <xf numFmtId="0" fontId="43" fillId="64" borderId="36" xfId="1349" applyFont="1" applyFill="1" applyBorder="1" applyAlignment="1">
      <alignment horizontal="left" vertical="center"/>
      <protection/>
    </xf>
    <xf numFmtId="0" fontId="43" fillId="64" borderId="43" xfId="1349" applyFont="1" applyFill="1" applyBorder="1" applyAlignment="1">
      <alignment horizontal="left" vertical="center"/>
      <protection/>
    </xf>
    <xf numFmtId="0" fontId="43" fillId="64" borderId="58" xfId="1349" applyFont="1" applyFill="1" applyBorder="1" applyAlignment="1">
      <alignment horizontal="left" vertical="center"/>
      <protection/>
    </xf>
    <xf numFmtId="0" fontId="43" fillId="64" borderId="59" xfId="1349" applyFont="1" applyFill="1" applyBorder="1" applyAlignment="1">
      <alignment horizontal="left" vertical="center"/>
      <protection/>
    </xf>
    <xf numFmtId="0" fontId="47" fillId="23" borderId="60" xfId="1349" applyFont="1" applyFill="1" applyBorder="1" applyAlignment="1">
      <alignment vertical="center"/>
      <protection/>
    </xf>
    <xf numFmtId="0" fontId="47" fillId="23" borderId="54" xfId="1349" applyFont="1" applyFill="1" applyBorder="1" applyAlignment="1">
      <alignment vertical="center"/>
      <protection/>
    </xf>
    <xf numFmtId="0" fontId="47" fillId="23" borderId="38" xfId="1349" applyFont="1" applyFill="1" applyBorder="1" applyAlignment="1">
      <alignment vertical="center"/>
      <protection/>
    </xf>
    <xf numFmtId="0" fontId="47" fillId="23" borderId="39" xfId="1349" applyFont="1" applyFill="1" applyBorder="1" applyAlignment="1">
      <alignment vertical="center"/>
      <protection/>
    </xf>
    <xf numFmtId="2" fontId="48" fillId="23" borderId="54" xfId="1349" applyNumberFormat="1" applyFont="1" applyFill="1" applyBorder="1" applyAlignment="1">
      <alignment horizontal="center" vertical="center"/>
      <protection/>
    </xf>
    <xf numFmtId="2" fontId="48" fillId="23" borderId="39" xfId="1349" applyNumberFormat="1" applyFont="1" applyFill="1" applyBorder="1" applyAlignment="1">
      <alignment horizontal="center" vertical="center"/>
      <protection/>
    </xf>
    <xf numFmtId="0" fontId="47" fillId="23" borderId="61" xfId="1349" applyFont="1" applyFill="1" applyBorder="1" applyAlignment="1">
      <alignment horizontal="center" vertical="center"/>
      <protection/>
    </xf>
    <xf numFmtId="0" fontId="47" fillId="23" borderId="40" xfId="1349" applyFont="1" applyFill="1" applyBorder="1" applyAlignment="1">
      <alignment horizontal="center" vertical="center"/>
      <protection/>
    </xf>
    <xf numFmtId="0" fontId="63" fillId="0" borderId="50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1" fillId="0" borderId="62" xfId="1349" applyFont="1" applyFill="1" applyBorder="1" applyAlignment="1">
      <alignment horizontal="left"/>
      <protection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99" fillId="0" borderId="0" xfId="1349" applyFont="1" applyFill="1" applyAlignment="1">
      <alignment horizontal="left"/>
      <protection/>
    </xf>
  </cellXfs>
  <cellStyles count="1813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 3" xfId="17"/>
    <cellStyle name="20% - ส่วนที่ถูกเน้น1 4" xfId="18"/>
    <cellStyle name="20% - ส่วนที่ถูกเน้น2" xfId="19"/>
    <cellStyle name="20% - ส่วนที่ถูกเน้น2 2" xfId="20"/>
    <cellStyle name="20% - ส่วนที่ถูกเน้น2 3" xfId="21"/>
    <cellStyle name="20% - ส่วนที่ถูกเน้น2 4" xfId="22"/>
    <cellStyle name="20% - ส่วนที่ถูกเน้น3" xfId="23"/>
    <cellStyle name="20% - ส่วนที่ถูกเน้น3 2" xfId="24"/>
    <cellStyle name="20% - ส่วนที่ถูกเน้น3 3" xfId="25"/>
    <cellStyle name="20% - ส่วนที่ถูกเน้น3 4" xfId="26"/>
    <cellStyle name="20% - ส่วนที่ถูกเน้น4" xfId="27"/>
    <cellStyle name="20% - ส่วนที่ถูกเน้น4 2" xfId="28"/>
    <cellStyle name="20% - ส่วนที่ถูกเน้น4 3" xfId="29"/>
    <cellStyle name="20% - ส่วนที่ถูกเน้น4 4" xfId="30"/>
    <cellStyle name="20% - ส่วนที่ถูกเน้น5" xfId="31"/>
    <cellStyle name="20% - ส่วนที่ถูกเน้น5 2" xfId="32"/>
    <cellStyle name="20% - ส่วนที่ถูกเน้น5 3" xfId="33"/>
    <cellStyle name="20% - ส่วนที่ถูกเน้น5 4" xfId="34"/>
    <cellStyle name="20% - ส่วนที่ถูกเน้น6" xfId="35"/>
    <cellStyle name="20% - ส่วนที่ถูกเน้น6 2" xfId="36"/>
    <cellStyle name="20% - ส่วนที่ถูกเน้น6 3" xfId="37"/>
    <cellStyle name="20% - ส่วนที่ถูกเน้น6 4" xfId="38"/>
    <cellStyle name="40% - ส่วนที่ถูกเน้น1" xfId="39"/>
    <cellStyle name="40% - ส่วนที่ถูกเน้น1 2" xfId="40"/>
    <cellStyle name="40% - ส่วนที่ถูกเน้น1 3" xfId="41"/>
    <cellStyle name="40% - ส่วนที่ถูกเน้น1 4" xfId="42"/>
    <cellStyle name="40% - ส่วนที่ถูกเน้น2" xfId="43"/>
    <cellStyle name="40% - ส่วนที่ถูกเน้น2 2" xfId="44"/>
    <cellStyle name="40% - ส่วนที่ถูกเน้น2 3" xfId="45"/>
    <cellStyle name="40% - ส่วนที่ถูกเน้น2 4" xfId="46"/>
    <cellStyle name="40% - ส่วนที่ถูกเน้น3" xfId="47"/>
    <cellStyle name="40% - ส่วนที่ถูกเน้น3 2" xfId="48"/>
    <cellStyle name="40% - ส่วนที่ถูกเน้น3 3" xfId="49"/>
    <cellStyle name="40% - ส่วนที่ถูกเน้น3 4" xfId="50"/>
    <cellStyle name="40% - ส่วนที่ถูกเน้น4" xfId="51"/>
    <cellStyle name="40% - ส่วนที่ถูกเน้น4 2" xfId="52"/>
    <cellStyle name="40% - ส่วนที่ถูกเน้น4 3" xfId="53"/>
    <cellStyle name="40% - ส่วนที่ถูกเน้น4 4" xfId="54"/>
    <cellStyle name="40% - ส่วนที่ถูกเน้น5" xfId="55"/>
    <cellStyle name="40% - ส่วนที่ถูกเน้น5 2" xfId="56"/>
    <cellStyle name="40% - ส่วนที่ถูกเน้น5 3" xfId="57"/>
    <cellStyle name="40% - ส่วนที่ถูกเน้น5 4" xfId="58"/>
    <cellStyle name="40% - ส่วนที่ถูกเน้น6" xfId="59"/>
    <cellStyle name="40% - ส่วนที่ถูกเน้น6 2" xfId="60"/>
    <cellStyle name="40% - ส่วนที่ถูกเน้น6 3" xfId="61"/>
    <cellStyle name="40% - ส่วนที่ถูกเน้น6 4" xfId="62"/>
    <cellStyle name="60% - ส่วนที่ถูกเน้น1" xfId="63"/>
    <cellStyle name="60% - ส่วนที่ถูกเน้น1 2" xfId="64"/>
    <cellStyle name="60% - ส่วนที่ถูกเน้น1 3" xfId="65"/>
    <cellStyle name="60% - ส่วนที่ถูกเน้น1 4" xfId="66"/>
    <cellStyle name="60% - ส่วนที่ถูกเน้น2" xfId="67"/>
    <cellStyle name="60% - ส่วนที่ถูกเน้น2 2" xfId="68"/>
    <cellStyle name="60% - ส่วนที่ถูกเน้น2 3" xfId="69"/>
    <cellStyle name="60% - ส่วนที่ถูกเน้น2 4" xfId="70"/>
    <cellStyle name="60% - ส่วนที่ถูกเน้น3" xfId="71"/>
    <cellStyle name="60% - ส่วนที่ถูกเน้น3 2" xfId="72"/>
    <cellStyle name="60% - ส่วนที่ถูกเน้น3 3" xfId="73"/>
    <cellStyle name="60% - ส่วนที่ถูกเน้น3 4" xfId="74"/>
    <cellStyle name="60% - ส่วนที่ถูกเน้น3 4 2" xfId="75"/>
    <cellStyle name="60% - ส่วนที่ถูกเน้น3 4 3" xfId="76"/>
    <cellStyle name="60% - ส่วนที่ถูกเน้น4" xfId="77"/>
    <cellStyle name="60% - ส่วนที่ถูกเน้น4 2" xfId="78"/>
    <cellStyle name="60% - ส่วนที่ถูกเน้น4 3" xfId="79"/>
    <cellStyle name="60% - ส่วนที่ถูกเน้น4 4" xfId="80"/>
    <cellStyle name="60% - ส่วนที่ถูกเน้น5" xfId="81"/>
    <cellStyle name="60% - ส่วนที่ถูกเน้น5 2" xfId="82"/>
    <cellStyle name="60% - ส่วนที่ถูกเน้น5 3" xfId="83"/>
    <cellStyle name="60% - ส่วนที่ถูกเน้น5 4" xfId="84"/>
    <cellStyle name="60% - ส่วนที่ถูกเน้น6" xfId="85"/>
    <cellStyle name="60% - ส่วนที่ถูกเน้น6 2" xfId="86"/>
    <cellStyle name="60% - ส่วนที่ถูกเน้น6 3" xfId="87"/>
    <cellStyle name="60% - ส่วนที่ถูกเน้น6 4" xfId="88"/>
    <cellStyle name="Comma 10" xfId="89"/>
    <cellStyle name="Comma 11" xfId="90"/>
    <cellStyle name="Comma 12" xfId="91"/>
    <cellStyle name="Comma 2" xfId="92"/>
    <cellStyle name="Comma 2 10" xfId="93"/>
    <cellStyle name="Comma 2 11" xfId="94"/>
    <cellStyle name="Comma 2 12" xfId="95"/>
    <cellStyle name="Comma 2 13" xfId="96"/>
    <cellStyle name="Comma 2 14" xfId="97"/>
    <cellStyle name="Comma 2 15" xfId="98"/>
    <cellStyle name="Comma 2 16" xfId="99"/>
    <cellStyle name="Comma 2 17" xfId="100"/>
    <cellStyle name="Comma 2 2" xfId="101"/>
    <cellStyle name="Comma 2 2 2" xfId="102"/>
    <cellStyle name="Comma 2 2 3" xfId="103"/>
    <cellStyle name="Comma 2 2 4" xfId="104"/>
    <cellStyle name="Comma 2 3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3" xfId="112"/>
    <cellStyle name="Comma 3 2" xfId="113"/>
    <cellStyle name="Comma 3 2 2" xfId="114"/>
    <cellStyle name="Comma 3 2 3" xfId="115"/>
    <cellStyle name="Comma 3 2 4" xfId="116"/>
    <cellStyle name="Comma 3 3" xfId="117"/>
    <cellStyle name="Comma 3 4" xfId="118"/>
    <cellStyle name="Comma 4" xfId="119"/>
    <cellStyle name="Comma 4 2" xfId="120"/>
    <cellStyle name="Comma 4 3" xfId="121"/>
    <cellStyle name="Comma 4 4" xfId="122"/>
    <cellStyle name="Comma 5" xfId="123"/>
    <cellStyle name="Comma 6" xfId="124"/>
    <cellStyle name="Comma 7" xfId="125"/>
    <cellStyle name="Comma 8" xfId="126"/>
    <cellStyle name="Comma 9" xfId="127"/>
    <cellStyle name="comma zerodec" xfId="128"/>
    <cellStyle name="Currency1" xfId="129"/>
    <cellStyle name="Dollar (zero dec)" xfId="130"/>
    <cellStyle name="Followed Hyperlink" xfId="131"/>
    <cellStyle name="Hyperlink" xfId="132"/>
    <cellStyle name="Normal 10" xfId="133"/>
    <cellStyle name="Normal 2" xfId="134"/>
    <cellStyle name="Normal 2 10" xfId="135"/>
    <cellStyle name="Normal 2 11" xfId="136"/>
    <cellStyle name="Normal 2 12" xfId="137"/>
    <cellStyle name="Normal 2 13" xfId="138"/>
    <cellStyle name="Normal 2 14" xfId="139"/>
    <cellStyle name="Normal 2 15" xfId="140"/>
    <cellStyle name="Normal 2 16" xfId="141"/>
    <cellStyle name="Normal 2 17" xfId="142"/>
    <cellStyle name="Normal 2 18" xfId="143"/>
    <cellStyle name="Normal 2 19" xfId="144"/>
    <cellStyle name="Normal 2 2" xfId="145"/>
    <cellStyle name="Normal 2 2 2" xfId="146"/>
    <cellStyle name="Normal 2 2 3" xfId="147"/>
    <cellStyle name="Normal 2 2 4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3" xfId="157"/>
    <cellStyle name="Normal 3 2" xfId="158"/>
    <cellStyle name="Normal 3 3" xfId="159"/>
    <cellStyle name="Normal 3 4" xfId="160"/>
    <cellStyle name="Normal 4" xfId="161"/>
    <cellStyle name="Normal 5" xfId="162"/>
    <cellStyle name="Normal 6" xfId="163"/>
    <cellStyle name="Normal 7" xfId="164"/>
    <cellStyle name="Normal 8" xfId="165"/>
    <cellStyle name="Normal 9" xfId="166"/>
    <cellStyle name="Percent 2" xfId="167"/>
    <cellStyle name="Percent 3" xfId="168"/>
    <cellStyle name="Percent 4" xfId="169"/>
    <cellStyle name="Percent 5" xfId="170"/>
    <cellStyle name="การคำนวณ" xfId="171"/>
    <cellStyle name="การคำนวณ 2" xfId="172"/>
    <cellStyle name="การคำนวณ 3" xfId="173"/>
    <cellStyle name="การคำนวณ 4" xfId="174"/>
    <cellStyle name="ข้อความเตือน" xfId="175"/>
    <cellStyle name="ข้อความเตือน 2" xfId="176"/>
    <cellStyle name="ข้อความเตือน 3" xfId="177"/>
    <cellStyle name="ข้อความเตือน 4" xfId="178"/>
    <cellStyle name="ข้อความอธิบาย" xfId="179"/>
    <cellStyle name="ข้อความอธิบาย 2" xfId="180"/>
    <cellStyle name="ข้อความอธิบาย 3" xfId="181"/>
    <cellStyle name="ข้อความอธิบาย 4" xfId="182"/>
    <cellStyle name="เครื่องหมายจุลภาค 2" xfId="183"/>
    <cellStyle name="เครื่องหมายจุลภาค 2 10" xfId="184"/>
    <cellStyle name="เครื่องหมายจุลภาค 2 100" xfId="185"/>
    <cellStyle name="เครื่องหมายจุลภาค 2 101" xfId="186"/>
    <cellStyle name="เครื่องหมายจุลภาค 2 102" xfId="187"/>
    <cellStyle name="เครื่องหมายจุลภาค 2 103" xfId="188"/>
    <cellStyle name="เครื่องหมายจุลภาค 2 104" xfId="189"/>
    <cellStyle name="เครื่องหมายจุลภาค 2 105" xfId="190"/>
    <cellStyle name="เครื่องหมายจุลภาค 2 106" xfId="191"/>
    <cellStyle name="เครื่องหมายจุลภาค 2 107" xfId="192"/>
    <cellStyle name="เครื่องหมายจุลภาค 2 108" xfId="193"/>
    <cellStyle name="เครื่องหมายจุลภาค 2 109" xfId="194"/>
    <cellStyle name="เครื่องหมายจุลภาค 2 11" xfId="195"/>
    <cellStyle name="เครื่องหมายจุลภาค 2 110" xfId="196"/>
    <cellStyle name="เครื่องหมายจุลภาค 2 111" xfId="197"/>
    <cellStyle name="เครื่องหมายจุลภาค 2 112" xfId="198"/>
    <cellStyle name="เครื่องหมายจุลภาค 2 113" xfId="199"/>
    <cellStyle name="เครื่องหมายจุลภาค 2 114" xfId="200"/>
    <cellStyle name="เครื่องหมายจุลภาค 2 115" xfId="201"/>
    <cellStyle name="เครื่องหมายจุลภาค 2 116" xfId="202"/>
    <cellStyle name="เครื่องหมายจุลภาค 2 117" xfId="203"/>
    <cellStyle name="เครื่องหมายจุลภาค 2 118" xfId="204"/>
    <cellStyle name="เครื่องหมายจุลภาค 2 119" xfId="205"/>
    <cellStyle name="เครื่องหมายจุลภาค 2 12" xfId="206"/>
    <cellStyle name="เครื่องหมายจุลภาค 2 120" xfId="207"/>
    <cellStyle name="เครื่องหมายจุลภาค 2 121" xfId="208"/>
    <cellStyle name="เครื่องหมายจุลภาค 2 122" xfId="209"/>
    <cellStyle name="เครื่องหมายจุลภาค 2 123" xfId="210"/>
    <cellStyle name="เครื่องหมายจุลภาค 2 124" xfId="211"/>
    <cellStyle name="เครื่องหมายจุลภาค 2 125" xfId="212"/>
    <cellStyle name="เครื่องหมายจุลภาค 2 126" xfId="213"/>
    <cellStyle name="เครื่องหมายจุลภาค 2 127" xfId="214"/>
    <cellStyle name="เครื่องหมายจุลภาค 2 128" xfId="215"/>
    <cellStyle name="เครื่องหมายจุลภาค 2 129" xfId="216"/>
    <cellStyle name="เครื่องหมายจุลภาค 2 13" xfId="217"/>
    <cellStyle name="เครื่องหมายจุลภาค 2 130" xfId="218"/>
    <cellStyle name="เครื่องหมายจุลภาค 2 131" xfId="219"/>
    <cellStyle name="เครื่องหมายจุลภาค 2 132" xfId="220"/>
    <cellStyle name="เครื่องหมายจุลภาค 2 133" xfId="221"/>
    <cellStyle name="เครื่องหมายจุลภาค 2 134" xfId="222"/>
    <cellStyle name="เครื่องหมายจุลภาค 2 135" xfId="223"/>
    <cellStyle name="เครื่องหมายจุลภาค 2 136" xfId="224"/>
    <cellStyle name="เครื่องหมายจุลภาค 2 137" xfId="225"/>
    <cellStyle name="เครื่องหมายจุลภาค 2 138" xfId="226"/>
    <cellStyle name="เครื่องหมายจุลภาค 2 139" xfId="227"/>
    <cellStyle name="เครื่องหมายจุลภาค 2 14" xfId="228"/>
    <cellStyle name="เครื่องหมายจุลภาค 2 140" xfId="229"/>
    <cellStyle name="เครื่องหมายจุลภาค 2 141" xfId="230"/>
    <cellStyle name="เครื่องหมายจุลภาค 2 142" xfId="231"/>
    <cellStyle name="เครื่องหมายจุลภาค 2 143" xfId="232"/>
    <cellStyle name="เครื่องหมายจุลภาค 2 144" xfId="233"/>
    <cellStyle name="เครื่องหมายจุลภาค 2 145" xfId="234"/>
    <cellStyle name="เครื่องหมายจุลภาค 2 146" xfId="235"/>
    <cellStyle name="เครื่องหมายจุลภาค 2 147" xfId="236"/>
    <cellStyle name="เครื่องหมายจุลภาค 2 148" xfId="237"/>
    <cellStyle name="เครื่องหมายจุลภาค 2 149" xfId="238"/>
    <cellStyle name="เครื่องหมายจุลภาค 2 15" xfId="239"/>
    <cellStyle name="เครื่องหมายจุลภาค 2 150" xfId="240"/>
    <cellStyle name="เครื่องหมายจุลภาค 2 151" xfId="241"/>
    <cellStyle name="เครื่องหมายจุลภาค 2 152" xfId="242"/>
    <cellStyle name="เครื่องหมายจุลภาค 2 153" xfId="243"/>
    <cellStyle name="เครื่องหมายจุลภาค 2 154" xfId="244"/>
    <cellStyle name="เครื่องหมายจุลภาค 2 155" xfId="245"/>
    <cellStyle name="เครื่องหมายจุลภาค 2 156" xfId="246"/>
    <cellStyle name="เครื่องหมายจุลภาค 2 157" xfId="247"/>
    <cellStyle name="เครื่องหมายจุลภาค 2 158" xfId="248"/>
    <cellStyle name="เครื่องหมายจุลภาค 2 159" xfId="249"/>
    <cellStyle name="เครื่องหมายจุลภาค 2 16" xfId="250"/>
    <cellStyle name="เครื่องหมายจุลภาค 2 160" xfId="251"/>
    <cellStyle name="เครื่องหมายจุลภาค 2 161" xfId="252"/>
    <cellStyle name="เครื่องหมายจุลภาค 2 162" xfId="253"/>
    <cellStyle name="เครื่องหมายจุลภาค 2 163" xfId="254"/>
    <cellStyle name="เครื่องหมายจุลภาค 2 164" xfId="255"/>
    <cellStyle name="เครื่องหมายจุลภาค 2 165" xfId="256"/>
    <cellStyle name="เครื่องหมายจุลภาค 2 166" xfId="257"/>
    <cellStyle name="เครื่องหมายจุลภาค 2 167" xfId="258"/>
    <cellStyle name="เครื่องหมายจุลภาค 2 168" xfId="259"/>
    <cellStyle name="เครื่องหมายจุลภาค 2 169" xfId="260"/>
    <cellStyle name="เครื่องหมายจุลภาค 2 17" xfId="261"/>
    <cellStyle name="เครื่องหมายจุลภาค 2 170" xfId="262"/>
    <cellStyle name="เครื่องหมายจุลภาค 2 171" xfId="263"/>
    <cellStyle name="เครื่องหมายจุลภาค 2 172" xfId="264"/>
    <cellStyle name="เครื่องหมายจุลภาค 2 173" xfId="265"/>
    <cellStyle name="เครื่องหมายจุลภาค 2 174" xfId="266"/>
    <cellStyle name="เครื่องหมายจุลภาค 2 175" xfId="267"/>
    <cellStyle name="เครื่องหมายจุลภาค 2 176" xfId="268"/>
    <cellStyle name="เครื่องหมายจุลภาค 2 177" xfId="269"/>
    <cellStyle name="เครื่องหมายจุลภาค 2 178" xfId="270"/>
    <cellStyle name="เครื่องหมายจุลภาค 2 179" xfId="271"/>
    <cellStyle name="เครื่องหมายจุลภาค 2 18" xfId="272"/>
    <cellStyle name="เครื่องหมายจุลภาค 2 180" xfId="273"/>
    <cellStyle name="เครื่องหมายจุลภาค 2 181" xfId="274"/>
    <cellStyle name="เครื่องหมายจุลภาค 2 182" xfId="275"/>
    <cellStyle name="เครื่องหมายจุลภาค 2 183" xfId="276"/>
    <cellStyle name="เครื่องหมายจุลภาค 2 184" xfId="277"/>
    <cellStyle name="เครื่องหมายจุลภาค 2 185" xfId="278"/>
    <cellStyle name="เครื่องหมายจุลภาค 2 186" xfId="279"/>
    <cellStyle name="เครื่องหมายจุลภาค 2 187" xfId="280"/>
    <cellStyle name="เครื่องหมายจุลภาค 2 188" xfId="281"/>
    <cellStyle name="เครื่องหมายจุลภาค 2 189" xfId="282"/>
    <cellStyle name="เครื่องหมายจุลภาค 2 19" xfId="283"/>
    <cellStyle name="เครื่องหมายจุลภาค 2 190" xfId="284"/>
    <cellStyle name="เครื่องหมายจุลภาค 2 191" xfId="285"/>
    <cellStyle name="เครื่องหมายจุลภาค 2 192" xfId="286"/>
    <cellStyle name="เครื่องหมายจุลภาค 2 193" xfId="287"/>
    <cellStyle name="เครื่องหมายจุลภาค 2 194" xfId="288"/>
    <cellStyle name="เครื่องหมายจุลภาค 2 195" xfId="289"/>
    <cellStyle name="เครื่องหมายจุลภาค 2 196" xfId="290"/>
    <cellStyle name="เครื่องหมายจุลภาค 2 197" xfId="291"/>
    <cellStyle name="เครื่องหมายจุลภาค 2 198" xfId="292"/>
    <cellStyle name="เครื่องหมายจุลภาค 2 199" xfId="293"/>
    <cellStyle name="เครื่องหมายจุลภาค 2 2" xfId="294"/>
    <cellStyle name="เครื่องหมายจุลภาค 2 2 10" xfId="295"/>
    <cellStyle name="เครื่องหมายจุลภาค 2 2 100" xfId="296"/>
    <cellStyle name="เครื่องหมายจุลภาค 2 2 101" xfId="297"/>
    <cellStyle name="เครื่องหมายจุลภาค 2 2 102" xfId="298"/>
    <cellStyle name="เครื่องหมายจุลภาค 2 2 103" xfId="299"/>
    <cellStyle name="เครื่องหมายจุลภาค 2 2 104" xfId="300"/>
    <cellStyle name="เครื่องหมายจุลภาค 2 2 105" xfId="301"/>
    <cellStyle name="เครื่องหมายจุลภาค 2 2 106" xfId="302"/>
    <cellStyle name="เครื่องหมายจุลภาค 2 2 107" xfId="303"/>
    <cellStyle name="เครื่องหมายจุลภาค 2 2 108" xfId="304"/>
    <cellStyle name="เครื่องหมายจุลภาค 2 2 109" xfId="305"/>
    <cellStyle name="เครื่องหมายจุลภาค 2 2 11" xfId="306"/>
    <cellStyle name="เครื่องหมายจุลภาค 2 2 110" xfId="307"/>
    <cellStyle name="เครื่องหมายจุลภาค 2 2 111" xfId="308"/>
    <cellStyle name="เครื่องหมายจุลภาค 2 2 112" xfId="309"/>
    <cellStyle name="เครื่องหมายจุลภาค 2 2 113" xfId="310"/>
    <cellStyle name="เครื่องหมายจุลภาค 2 2 114" xfId="311"/>
    <cellStyle name="เครื่องหมายจุลภาค 2 2 115" xfId="312"/>
    <cellStyle name="เครื่องหมายจุลภาค 2 2 116" xfId="313"/>
    <cellStyle name="เครื่องหมายจุลภาค 2 2 117" xfId="314"/>
    <cellStyle name="เครื่องหมายจุลภาค 2 2 118" xfId="315"/>
    <cellStyle name="เครื่องหมายจุลภาค 2 2 119" xfId="316"/>
    <cellStyle name="เครื่องหมายจุลภาค 2 2 12" xfId="317"/>
    <cellStyle name="เครื่องหมายจุลภาค 2 2 120" xfId="318"/>
    <cellStyle name="เครื่องหมายจุลภาค 2 2 121" xfId="319"/>
    <cellStyle name="เครื่องหมายจุลภาค 2 2 122" xfId="320"/>
    <cellStyle name="เครื่องหมายจุลภาค 2 2 123" xfId="321"/>
    <cellStyle name="เครื่องหมายจุลภาค 2 2 124" xfId="322"/>
    <cellStyle name="เครื่องหมายจุลภาค 2 2 125" xfId="323"/>
    <cellStyle name="เครื่องหมายจุลภาค 2 2 126" xfId="324"/>
    <cellStyle name="เครื่องหมายจุลภาค 2 2 127" xfId="325"/>
    <cellStyle name="เครื่องหมายจุลภาค 2 2 128" xfId="326"/>
    <cellStyle name="เครื่องหมายจุลภาค 2 2 129" xfId="327"/>
    <cellStyle name="เครื่องหมายจุลภาค 2 2 13" xfId="328"/>
    <cellStyle name="เครื่องหมายจุลภาค 2 2 130" xfId="329"/>
    <cellStyle name="เครื่องหมายจุลภาค 2 2 131" xfId="330"/>
    <cellStyle name="เครื่องหมายจุลภาค 2 2 132" xfId="331"/>
    <cellStyle name="เครื่องหมายจุลภาค 2 2 133" xfId="332"/>
    <cellStyle name="เครื่องหมายจุลภาค 2 2 134" xfId="333"/>
    <cellStyle name="เครื่องหมายจุลภาค 2 2 135" xfId="334"/>
    <cellStyle name="เครื่องหมายจุลภาค 2 2 136" xfId="335"/>
    <cellStyle name="เครื่องหมายจุลภาค 2 2 137" xfId="336"/>
    <cellStyle name="เครื่องหมายจุลภาค 2 2 138" xfId="337"/>
    <cellStyle name="เครื่องหมายจุลภาค 2 2 139" xfId="338"/>
    <cellStyle name="เครื่องหมายจุลภาค 2 2 14" xfId="339"/>
    <cellStyle name="เครื่องหมายจุลภาค 2 2 140" xfId="340"/>
    <cellStyle name="เครื่องหมายจุลภาค 2 2 141" xfId="341"/>
    <cellStyle name="เครื่องหมายจุลภาค 2 2 142" xfId="342"/>
    <cellStyle name="เครื่องหมายจุลภาค 2 2 143" xfId="343"/>
    <cellStyle name="เครื่องหมายจุลภาค 2 2 144" xfId="344"/>
    <cellStyle name="เครื่องหมายจุลภาค 2 2 145" xfId="345"/>
    <cellStyle name="เครื่องหมายจุลภาค 2 2 146" xfId="346"/>
    <cellStyle name="เครื่องหมายจุลภาค 2 2 147" xfId="347"/>
    <cellStyle name="เครื่องหมายจุลภาค 2 2 148" xfId="348"/>
    <cellStyle name="เครื่องหมายจุลภาค 2 2 149" xfId="349"/>
    <cellStyle name="เครื่องหมายจุลภาค 2 2 15" xfId="350"/>
    <cellStyle name="เครื่องหมายจุลภาค 2 2 150" xfId="351"/>
    <cellStyle name="เครื่องหมายจุลภาค 2 2 151" xfId="352"/>
    <cellStyle name="เครื่องหมายจุลภาค 2 2 152" xfId="353"/>
    <cellStyle name="เครื่องหมายจุลภาค 2 2 153" xfId="354"/>
    <cellStyle name="เครื่องหมายจุลภาค 2 2 154" xfId="355"/>
    <cellStyle name="เครื่องหมายจุลภาค 2 2 155" xfId="356"/>
    <cellStyle name="เครื่องหมายจุลภาค 2 2 156" xfId="357"/>
    <cellStyle name="เครื่องหมายจุลภาค 2 2 157" xfId="358"/>
    <cellStyle name="เครื่องหมายจุลภาค 2 2 158" xfId="359"/>
    <cellStyle name="เครื่องหมายจุลภาค 2 2 159" xfId="360"/>
    <cellStyle name="เครื่องหมายจุลภาค 2 2 16" xfId="361"/>
    <cellStyle name="เครื่องหมายจุลภาค 2 2 160" xfId="362"/>
    <cellStyle name="เครื่องหมายจุลภาค 2 2 161" xfId="363"/>
    <cellStyle name="เครื่องหมายจุลภาค 2 2 162" xfId="364"/>
    <cellStyle name="เครื่องหมายจุลภาค 2 2 163" xfId="365"/>
    <cellStyle name="เครื่องหมายจุลภาค 2 2 164" xfId="366"/>
    <cellStyle name="เครื่องหมายจุลภาค 2 2 165" xfId="367"/>
    <cellStyle name="เครื่องหมายจุลภาค 2 2 166" xfId="368"/>
    <cellStyle name="เครื่องหมายจุลภาค 2 2 167" xfId="369"/>
    <cellStyle name="เครื่องหมายจุลภาค 2 2 168" xfId="370"/>
    <cellStyle name="เครื่องหมายจุลภาค 2 2 169" xfId="371"/>
    <cellStyle name="เครื่องหมายจุลภาค 2 2 17" xfId="372"/>
    <cellStyle name="เครื่องหมายจุลภาค 2 2 170" xfId="373"/>
    <cellStyle name="เครื่องหมายจุลภาค 2 2 171" xfId="374"/>
    <cellStyle name="เครื่องหมายจุลภาค 2 2 172" xfId="375"/>
    <cellStyle name="เครื่องหมายจุลภาค 2 2 173" xfId="376"/>
    <cellStyle name="เครื่องหมายจุลภาค 2 2 174" xfId="377"/>
    <cellStyle name="เครื่องหมายจุลภาค 2 2 175" xfId="378"/>
    <cellStyle name="เครื่องหมายจุลภาค 2 2 176" xfId="379"/>
    <cellStyle name="เครื่องหมายจุลภาค 2 2 177" xfId="380"/>
    <cellStyle name="เครื่องหมายจุลภาค 2 2 178" xfId="381"/>
    <cellStyle name="เครื่องหมายจุลภาค 2 2 179" xfId="382"/>
    <cellStyle name="เครื่องหมายจุลภาค 2 2 18" xfId="383"/>
    <cellStyle name="เครื่องหมายจุลภาค 2 2 180" xfId="384"/>
    <cellStyle name="เครื่องหมายจุลภาค 2 2 181" xfId="385"/>
    <cellStyle name="เครื่องหมายจุลภาค 2 2 182" xfId="386"/>
    <cellStyle name="เครื่องหมายจุลภาค 2 2 183" xfId="387"/>
    <cellStyle name="เครื่องหมายจุลภาค 2 2 184" xfId="388"/>
    <cellStyle name="เครื่องหมายจุลภาค 2 2 185" xfId="389"/>
    <cellStyle name="เครื่องหมายจุลภาค 2 2 186" xfId="390"/>
    <cellStyle name="เครื่องหมายจุลภาค 2 2 187" xfId="391"/>
    <cellStyle name="เครื่องหมายจุลภาค 2 2 188" xfId="392"/>
    <cellStyle name="เครื่องหมายจุลภาค 2 2 189" xfId="393"/>
    <cellStyle name="เครื่องหมายจุลภาค 2 2 19" xfId="394"/>
    <cellStyle name="เครื่องหมายจุลภาค 2 2 190" xfId="395"/>
    <cellStyle name="เครื่องหมายจุลภาค 2 2 191" xfId="396"/>
    <cellStyle name="เครื่องหมายจุลภาค 2 2 192" xfId="397"/>
    <cellStyle name="เครื่องหมายจุลภาค 2 2 193" xfId="398"/>
    <cellStyle name="เครื่องหมายจุลภาค 2 2 194" xfId="399"/>
    <cellStyle name="เครื่องหมายจุลภาค 2 2 195" xfId="400"/>
    <cellStyle name="เครื่องหมายจุลภาค 2 2 196" xfId="401"/>
    <cellStyle name="เครื่องหมายจุลภาค 2 2 197" xfId="402"/>
    <cellStyle name="เครื่องหมายจุลภาค 2 2 198" xfId="403"/>
    <cellStyle name="เครื่องหมายจุลภาค 2 2 199" xfId="404"/>
    <cellStyle name="เครื่องหมายจุลภาค 2 2 2" xfId="405"/>
    <cellStyle name="เครื่องหมายจุลภาค 2 2 2 10" xfId="406"/>
    <cellStyle name="เครื่องหมายจุลภาค 2 2 2 100" xfId="407"/>
    <cellStyle name="เครื่องหมายจุลภาค 2 2 2 101" xfId="408"/>
    <cellStyle name="เครื่องหมายจุลภาค 2 2 2 102" xfId="409"/>
    <cellStyle name="เครื่องหมายจุลภาค 2 2 2 103" xfId="410"/>
    <cellStyle name="เครื่องหมายจุลภาค 2 2 2 104" xfId="411"/>
    <cellStyle name="เครื่องหมายจุลภาค 2 2 2 105" xfId="412"/>
    <cellStyle name="เครื่องหมายจุลภาค 2 2 2 106" xfId="413"/>
    <cellStyle name="เครื่องหมายจุลภาค 2 2 2 107" xfId="414"/>
    <cellStyle name="เครื่องหมายจุลภาค 2 2 2 108" xfId="415"/>
    <cellStyle name="เครื่องหมายจุลภาค 2 2 2 109" xfId="416"/>
    <cellStyle name="เครื่องหมายจุลภาค 2 2 2 11" xfId="417"/>
    <cellStyle name="เครื่องหมายจุลภาค 2 2 2 110" xfId="418"/>
    <cellStyle name="เครื่องหมายจุลภาค 2 2 2 111" xfId="419"/>
    <cellStyle name="เครื่องหมายจุลภาค 2 2 2 112" xfId="420"/>
    <cellStyle name="เครื่องหมายจุลภาค 2 2 2 113" xfId="421"/>
    <cellStyle name="เครื่องหมายจุลภาค 2 2 2 114" xfId="422"/>
    <cellStyle name="เครื่องหมายจุลภาค 2 2 2 115" xfId="423"/>
    <cellStyle name="เครื่องหมายจุลภาค 2 2 2 116" xfId="424"/>
    <cellStyle name="เครื่องหมายจุลภาค 2 2 2 117" xfId="425"/>
    <cellStyle name="เครื่องหมายจุลภาค 2 2 2 118" xfId="426"/>
    <cellStyle name="เครื่องหมายจุลภาค 2 2 2 119" xfId="427"/>
    <cellStyle name="เครื่องหมายจุลภาค 2 2 2 12" xfId="428"/>
    <cellStyle name="เครื่องหมายจุลภาค 2 2 2 120" xfId="429"/>
    <cellStyle name="เครื่องหมายจุลภาค 2 2 2 121" xfId="430"/>
    <cellStyle name="เครื่องหมายจุลภาค 2 2 2 122" xfId="431"/>
    <cellStyle name="เครื่องหมายจุลภาค 2 2 2 123" xfId="432"/>
    <cellStyle name="เครื่องหมายจุลภาค 2 2 2 124" xfId="433"/>
    <cellStyle name="เครื่องหมายจุลภาค 2 2 2 125" xfId="434"/>
    <cellStyle name="เครื่องหมายจุลภาค 2 2 2 126" xfId="435"/>
    <cellStyle name="เครื่องหมายจุลภาค 2 2 2 127" xfId="436"/>
    <cellStyle name="เครื่องหมายจุลภาค 2 2 2 128" xfId="437"/>
    <cellStyle name="เครื่องหมายจุลภาค 2 2 2 129" xfId="438"/>
    <cellStyle name="เครื่องหมายจุลภาค 2 2 2 13" xfId="439"/>
    <cellStyle name="เครื่องหมายจุลภาค 2 2 2 130" xfId="440"/>
    <cellStyle name="เครื่องหมายจุลภาค 2 2 2 131" xfId="441"/>
    <cellStyle name="เครื่องหมายจุลภาค 2 2 2 132" xfId="442"/>
    <cellStyle name="เครื่องหมายจุลภาค 2 2 2 133" xfId="443"/>
    <cellStyle name="เครื่องหมายจุลภาค 2 2 2 134" xfId="444"/>
    <cellStyle name="เครื่องหมายจุลภาค 2 2 2 135" xfId="445"/>
    <cellStyle name="เครื่องหมายจุลภาค 2 2 2 136" xfId="446"/>
    <cellStyle name="เครื่องหมายจุลภาค 2 2 2 137" xfId="447"/>
    <cellStyle name="เครื่องหมายจุลภาค 2 2 2 138" xfId="448"/>
    <cellStyle name="เครื่องหมายจุลภาค 2 2 2 139" xfId="449"/>
    <cellStyle name="เครื่องหมายจุลภาค 2 2 2 14" xfId="450"/>
    <cellStyle name="เครื่องหมายจุลภาค 2 2 2 140" xfId="451"/>
    <cellStyle name="เครื่องหมายจุลภาค 2 2 2 141" xfId="452"/>
    <cellStyle name="เครื่องหมายจุลภาค 2 2 2 142" xfId="453"/>
    <cellStyle name="เครื่องหมายจุลภาค 2 2 2 143" xfId="454"/>
    <cellStyle name="เครื่องหมายจุลภาค 2 2 2 144" xfId="455"/>
    <cellStyle name="เครื่องหมายจุลภาค 2 2 2 145" xfId="456"/>
    <cellStyle name="เครื่องหมายจุลภาค 2 2 2 146" xfId="457"/>
    <cellStyle name="เครื่องหมายจุลภาค 2 2 2 147" xfId="458"/>
    <cellStyle name="เครื่องหมายจุลภาค 2 2 2 148" xfId="459"/>
    <cellStyle name="เครื่องหมายจุลภาค 2 2 2 149" xfId="460"/>
    <cellStyle name="เครื่องหมายจุลภาค 2 2 2 15" xfId="461"/>
    <cellStyle name="เครื่องหมายจุลภาค 2 2 2 150" xfId="462"/>
    <cellStyle name="เครื่องหมายจุลภาค 2 2 2 151" xfId="463"/>
    <cellStyle name="เครื่องหมายจุลภาค 2 2 2 152" xfId="464"/>
    <cellStyle name="เครื่องหมายจุลภาค 2 2 2 153" xfId="465"/>
    <cellStyle name="เครื่องหมายจุลภาค 2 2 2 154" xfId="466"/>
    <cellStyle name="เครื่องหมายจุลภาค 2 2 2 155" xfId="467"/>
    <cellStyle name="เครื่องหมายจุลภาค 2 2 2 156" xfId="468"/>
    <cellStyle name="เครื่องหมายจุลภาค 2 2 2 157" xfId="469"/>
    <cellStyle name="เครื่องหมายจุลภาค 2 2 2 158" xfId="470"/>
    <cellStyle name="เครื่องหมายจุลภาค 2 2 2 159" xfId="471"/>
    <cellStyle name="เครื่องหมายจุลภาค 2 2 2 16" xfId="472"/>
    <cellStyle name="เครื่องหมายจุลภาค 2 2 2 160" xfId="473"/>
    <cellStyle name="เครื่องหมายจุลภาค 2 2 2 161" xfId="474"/>
    <cellStyle name="เครื่องหมายจุลภาค 2 2 2 162" xfId="475"/>
    <cellStyle name="เครื่องหมายจุลภาค 2 2 2 163" xfId="476"/>
    <cellStyle name="เครื่องหมายจุลภาค 2 2 2 164" xfId="477"/>
    <cellStyle name="เครื่องหมายจุลภาค 2 2 2 165" xfId="478"/>
    <cellStyle name="เครื่องหมายจุลภาค 2 2 2 166" xfId="479"/>
    <cellStyle name="เครื่องหมายจุลภาค 2 2 2 167" xfId="480"/>
    <cellStyle name="เครื่องหมายจุลภาค 2 2 2 168" xfId="481"/>
    <cellStyle name="เครื่องหมายจุลภาค 2 2 2 169" xfId="482"/>
    <cellStyle name="เครื่องหมายจุลภาค 2 2 2 17" xfId="483"/>
    <cellStyle name="เครื่องหมายจุลภาค 2 2 2 170" xfId="484"/>
    <cellStyle name="เครื่องหมายจุลภาค 2 2 2 171" xfId="485"/>
    <cellStyle name="เครื่องหมายจุลภาค 2 2 2 172" xfId="486"/>
    <cellStyle name="เครื่องหมายจุลภาค 2 2 2 173" xfId="487"/>
    <cellStyle name="เครื่องหมายจุลภาค 2 2 2 174" xfId="488"/>
    <cellStyle name="เครื่องหมายจุลภาค 2 2 2 175" xfId="489"/>
    <cellStyle name="เครื่องหมายจุลภาค 2 2 2 176" xfId="490"/>
    <cellStyle name="เครื่องหมายจุลภาค 2 2 2 177" xfId="491"/>
    <cellStyle name="เครื่องหมายจุลภาค 2 2 2 178" xfId="492"/>
    <cellStyle name="เครื่องหมายจุลภาค 2 2 2 179" xfId="493"/>
    <cellStyle name="เครื่องหมายจุลภาค 2 2 2 18" xfId="494"/>
    <cellStyle name="เครื่องหมายจุลภาค 2 2 2 180" xfId="495"/>
    <cellStyle name="เครื่องหมายจุลภาค 2 2 2 181" xfId="496"/>
    <cellStyle name="เครื่องหมายจุลภาค 2 2 2 182" xfId="497"/>
    <cellStyle name="เครื่องหมายจุลภาค 2 2 2 183" xfId="498"/>
    <cellStyle name="เครื่องหมายจุลภาค 2 2 2 184" xfId="499"/>
    <cellStyle name="เครื่องหมายจุลภาค 2 2 2 185" xfId="500"/>
    <cellStyle name="เครื่องหมายจุลภาค 2 2 2 186" xfId="501"/>
    <cellStyle name="เครื่องหมายจุลภาค 2 2 2 187" xfId="502"/>
    <cellStyle name="เครื่องหมายจุลภาค 2 2 2 188" xfId="503"/>
    <cellStyle name="เครื่องหมายจุลภาค 2 2 2 189" xfId="504"/>
    <cellStyle name="เครื่องหมายจุลภาค 2 2 2 19" xfId="505"/>
    <cellStyle name="เครื่องหมายจุลภาค 2 2 2 190" xfId="506"/>
    <cellStyle name="เครื่องหมายจุลภาค 2 2 2 191" xfId="507"/>
    <cellStyle name="เครื่องหมายจุลภาค 2 2 2 192" xfId="508"/>
    <cellStyle name="เครื่องหมายจุลภาค 2 2 2 193" xfId="509"/>
    <cellStyle name="เครื่องหมายจุลภาค 2 2 2 194" xfId="510"/>
    <cellStyle name="เครื่องหมายจุลภาค 2 2 2 195" xfId="511"/>
    <cellStyle name="เครื่องหมายจุลภาค 2 2 2 196" xfId="512"/>
    <cellStyle name="เครื่องหมายจุลภาค 2 2 2 197" xfId="513"/>
    <cellStyle name="เครื่องหมายจุลภาค 2 2 2 198" xfId="514"/>
    <cellStyle name="เครื่องหมายจุลภาค 2 2 2 199" xfId="515"/>
    <cellStyle name="เครื่องหมายจุลภาค 2 2 2 2" xfId="516"/>
    <cellStyle name="เครื่องหมายจุลภาค 2 2 2 20" xfId="517"/>
    <cellStyle name="เครื่องหมายจุลภาค 2 2 2 200" xfId="518"/>
    <cellStyle name="เครื่องหมายจุลภาค 2 2 2 201" xfId="519"/>
    <cellStyle name="เครื่องหมายจุลภาค 2 2 2 202" xfId="520"/>
    <cellStyle name="เครื่องหมายจุลภาค 2 2 2 203" xfId="521"/>
    <cellStyle name="เครื่องหมายจุลภาค 2 2 2 204" xfId="522"/>
    <cellStyle name="เครื่องหมายจุลภาค 2 2 2 205" xfId="523"/>
    <cellStyle name="เครื่องหมายจุลภาค 2 2 2 206" xfId="524"/>
    <cellStyle name="เครื่องหมายจุลภาค 2 2 2 207" xfId="525"/>
    <cellStyle name="เครื่องหมายจุลภาค 2 2 2 208" xfId="526"/>
    <cellStyle name="เครื่องหมายจุลภาค 2 2 2 209" xfId="527"/>
    <cellStyle name="เครื่องหมายจุลภาค 2 2 2 21" xfId="528"/>
    <cellStyle name="เครื่องหมายจุลภาค 2 2 2 210" xfId="529"/>
    <cellStyle name="เครื่องหมายจุลภาค 2 2 2 211" xfId="530"/>
    <cellStyle name="เครื่องหมายจุลภาค 2 2 2 212" xfId="531"/>
    <cellStyle name="เครื่องหมายจุลภาค 2 2 2 213" xfId="532"/>
    <cellStyle name="เครื่องหมายจุลภาค 2 2 2 214" xfId="533"/>
    <cellStyle name="เครื่องหมายจุลภาค 2 2 2 215" xfId="534"/>
    <cellStyle name="เครื่องหมายจุลภาค 2 2 2 216" xfId="535"/>
    <cellStyle name="เครื่องหมายจุลภาค 2 2 2 217" xfId="536"/>
    <cellStyle name="เครื่องหมายจุลภาค 2 2 2 218" xfId="537"/>
    <cellStyle name="เครื่องหมายจุลภาค 2 2 2 219" xfId="538"/>
    <cellStyle name="เครื่องหมายจุลภาค 2 2 2 22" xfId="539"/>
    <cellStyle name="เครื่องหมายจุลภาค 2 2 2 220" xfId="540"/>
    <cellStyle name="เครื่องหมายจุลภาค 2 2 2 221" xfId="541"/>
    <cellStyle name="เครื่องหมายจุลภาค 2 2 2 222" xfId="542"/>
    <cellStyle name="เครื่องหมายจุลภาค 2 2 2 223" xfId="543"/>
    <cellStyle name="เครื่องหมายจุลภาค 2 2 2 224" xfId="544"/>
    <cellStyle name="เครื่องหมายจุลภาค 2 2 2 225" xfId="545"/>
    <cellStyle name="เครื่องหมายจุลภาค 2 2 2 226" xfId="546"/>
    <cellStyle name="เครื่องหมายจุลภาค 2 2 2 227" xfId="547"/>
    <cellStyle name="เครื่องหมายจุลภาค 2 2 2 228" xfId="548"/>
    <cellStyle name="เครื่องหมายจุลภาค 2 2 2 229" xfId="549"/>
    <cellStyle name="เครื่องหมายจุลภาค 2 2 2 23" xfId="550"/>
    <cellStyle name="เครื่องหมายจุลภาค 2 2 2 230" xfId="551"/>
    <cellStyle name="เครื่องหมายจุลภาค 2 2 2 231" xfId="552"/>
    <cellStyle name="เครื่องหมายจุลภาค 2 2 2 232" xfId="553"/>
    <cellStyle name="เครื่องหมายจุลภาค 2 2 2 233" xfId="554"/>
    <cellStyle name="เครื่องหมายจุลภาค 2 2 2 234" xfId="555"/>
    <cellStyle name="เครื่องหมายจุลภาค 2 2 2 235" xfId="556"/>
    <cellStyle name="เครื่องหมายจุลภาค 2 2 2 236" xfId="557"/>
    <cellStyle name="เครื่องหมายจุลภาค 2 2 2 237" xfId="558"/>
    <cellStyle name="เครื่องหมายจุลภาค 2 2 2 238" xfId="559"/>
    <cellStyle name="เครื่องหมายจุลภาค 2 2 2 239" xfId="560"/>
    <cellStyle name="เครื่องหมายจุลภาค 2 2 2 24" xfId="561"/>
    <cellStyle name="เครื่องหมายจุลภาค 2 2 2 240" xfId="562"/>
    <cellStyle name="เครื่องหมายจุลภาค 2 2 2 241" xfId="563"/>
    <cellStyle name="เครื่องหมายจุลภาค 2 2 2 242" xfId="564"/>
    <cellStyle name="เครื่องหมายจุลภาค 2 2 2 243" xfId="565"/>
    <cellStyle name="เครื่องหมายจุลภาค 2 2 2 244" xfId="566"/>
    <cellStyle name="เครื่องหมายจุลภาค 2 2 2 245" xfId="567"/>
    <cellStyle name="เครื่องหมายจุลภาค 2 2 2 246" xfId="568"/>
    <cellStyle name="เครื่องหมายจุลภาค 2 2 2 247" xfId="569"/>
    <cellStyle name="เครื่องหมายจุลภาค 2 2 2 248" xfId="570"/>
    <cellStyle name="เครื่องหมายจุลภาค 2 2 2 249" xfId="571"/>
    <cellStyle name="เครื่องหมายจุลภาค 2 2 2 25" xfId="572"/>
    <cellStyle name="เครื่องหมายจุลภาค 2 2 2 250" xfId="573"/>
    <cellStyle name="เครื่องหมายจุลภาค 2 2 2 251" xfId="574"/>
    <cellStyle name="เครื่องหมายจุลภาค 2 2 2 26" xfId="575"/>
    <cellStyle name="เครื่องหมายจุลภาค 2 2 2 27" xfId="576"/>
    <cellStyle name="เครื่องหมายจุลภาค 2 2 2 28" xfId="577"/>
    <cellStyle name="เครื่องหมายจุลภาค 2 2 2 29" xfId="578"/>
    <cellStyle name="เครื่องหมายจุลภาค 2 2 2 3" xfId="579"/>
    <cellStyle name="เครื่องหมายจุลภาค 2 2 2 30" xfId="580"/>
    <cellStyle name="เครื่องหมายจุลภาค 2 2 2 31" xfId="581"/>
    <cellStyle name="เครื่องหมายจุลภาค 2 2 2 32" xfId="582"/>
    <cellStyle name="เครื่องหมายจุลภาค 2 2 2 33" xfId="583"/>
    <cellStyle name="เครื่องหมายจุลภาค 2 2 2 34" xfId="584"/>
    <cellStyle name="เครื่องหมายจุลภาค 2 2 2 35" xfId="585"/>
    <cellStyle name="เครื่องหมายจุลภาค 2 2 2 36" xfId="586"/>
    <cellStyle name="เครื่องหมายจุลภาค 2 2 2 37" xfId="587"/>
    <cellStyle name="เครื่องหมายจุลภาค 2 2 2 38" xfId="588"/>
    <cellStyle name="เครื่องหมายจุลภาค 2 2 2 39" xfId="589"/>
    <cellStyle name="เครื่องหมายจุลภาค 2 2 2 4" xfId="590"/>
    <cellStyle name="เครื่องหมายจุลภาค 2 2 2 40" xfId="591"/>
    <cellStyle name="เครื่องหมายจุลภาค 2 2 2 41" xfId="592"/>
    <cellStyle name="เครื่องหมายจุลภาค 2 2 2 42" xfId="593"/>
    <cellStyle name="เครื่องหมายจุลภาค 2 2 2 43" xfId="594"/>
    <cellStyle name="เครื่องหมายจุลภาค 2 2 2 44" xfId="595"/>
    <cellStyle name="เครื่องหมายจุลภาค 2 2 2 45" xfId="596"/>
    <cellStyle name="เครื่องหมายจุลภาค 2 2 2 46" xfId="597"/>
    <cellStyle name="เครื่องหมายจุลภาค 2 2 2 47" xfId="598"/>
    <cellStyle name="เครื่องหมายจุลภาค 2 2 2 48" xfId="599"/>
    <cellStyle name="เครื่องหมายจุลภาค 2 2 2 49" xfId="600"/>
    <cellStyle name="เครื่องหมายจุลภาค 2 2 2 5" xfId="601"/>
    <cellStyle name="เครื่องหมายจุลภาค 2 2 2 50" xfId="602"/>
    <cellStyle name="เครื่องหมายจุลภาค 2 2 2 51" xfId="603"/>
    <cellStyle name="เครื่องหมายจุลภาค 2 2 2 52" xfId="604"/>
    <cellStyle name="เครื่องหมายจุลภาค 2 2 2 53" xfId="605"/>
    <cellStyle name="เครื่องหมายจุลภาค 2 2 2 54" xfId="606"/>
    <cellStyle name="เครื่องหมายจุลภาค 2 2 2 55" xfId="607"/>
    <cellStyle name="เครื่องหมายจุลภาค 2 2 2 56" xfId="608"/>
    <cellStyle name="เครื่องหมายจุลภาค 2 2 2 57" xfId="609"/>
    <cellStyle name="เครื่องหมายจุลภาค 2 2 2 58" xfId="610"/>
    <cellStyle name="เครื่องหมายจุลภาค 2 2 2 59" xfId="611"/>
    <cellStyle name="เครื่องหมายจุลภาค 2 2 2 6" xfId="612"/>
    <cellStyle name="เครื่องหมายจุลภาค 2 2 2 60" xfId="613"/>
    <cellStyle name="เครื่องหมายจุลภาค 2 2 2 61" xfId="614"/>
    <cellStyle name="เครื่องหมายจุลภาค 2 2 2 62" xfId="615"/>
    <cellStyle name="เครื่องหมายจุลภาค 2 2 2 63" xfId="616"/>
    <cellStyle name="เครื่องหมายจุลภาค 2 2 2 64" xfId="617"/>
    <cellStyle name="เครื่องหมายจุลภาค 2 2 2 65" xfId="618"/>
    <cellStyle name="เครื่องหมายจุลภาค 2 2 2 66" xfId="619"/>
    <cellStyle name="เครื่องหมายจุลภาค 2 2 2 67" xfId="620"/>
    <cellStyle name="เครื่องหมายจุลภาค 2 2 2 68" xfId="621"/>
    <cellStyle name="เครื่องหมายจุลภาค 2 2 2 69" xfId="622"/>
    <cellStyle name="เครื่องหมายจุลภาค 2 2 2 7" xfId="623"/>
    <cellStyle name="เครื่องหมายจุลภาค 2 2 2 70" xfId="624"/>
    <cellStyle name="เครื่องหมายจุลภาค 2 2 2 71" xfId="625"/>
    <cellStyle name="เครื่องหมายจุลภาค 2 2 2 72" xfId="626"/>
    <cellStyle name="เครื่องหมายจุลภาค 2 2 2 73" xfId="627"/>
    <cellStyle name="เครื่องหมายจุลภาค 2 2 2 74" xfId="628"/>
    <cellStyle name="เครื่องหมายจุลภาค 2 2 2 75" xfId="629"/>
    <cellStyle name="เครื่องหมายจุลภาค 2 2 2 76" xfId="630"/>
    <cellStyle name="เครื่องหมายจุลภาค 2 2 2 77" xfId="631"/>
    <cellStyle name="เครื่องหมายจุลภาค 2 2 2 78" xfId="632"/>
    <cellStyle name="เครื่องหมายจุลภาค 2 2 2 79" xfId="633"/>
    <cellStyle name="เครื่องหมายจุลภาค 2 2 2 8" xfId="634"/>
    <cellStyle name="เครื่องหมายจุลภาค 2 2 2 80" xfId="635"/>
    <cellStyle name="เครื่องหมายจุลภาค 2 2 2 81" xfId="636"/>
    <cellStyle name="เครื่องหมายจุลภาค 2 2 2 82" xfId="637"/>
    <cellStyle name="เครื่องหมายจุลภาค 2 2 2 83" xfId="638"/>
    <cellStyle name="เครื่องหมายจุลภาค 2 2 2 84" xfId="639"/>
    <cellStyle name="เครื่องหมายจุลภาค 2 2 2 85" xfId="640"/>
    <cellStyle name="เครื่องหมายจุลภาค 2 2 2 86" xfId="641"/>
    <cellStyle name="เครื่องหมายจุลภาค 2 2 2 87" xfId="642"/>
    <cellStyle name="เครื่องหมายจุลภาค 2 2 2 88" xfId="643"/>
    <cellStyle name="เครื่องหมายจุลภาค 2 2 2 89" xfId="644"/>
    <cellStyle name="เครื่องหมายจุลภาค 2 2 2 9" xfId="645"/>
    <cellStyle name="เครื่องหมายจุลภาค 2 2 2 90" xfId="646"/>
    <cellStyle name="เครื่องหมายจุลภาค 2 2 2 91" xfId="647"/>
    <cellStyle name="เครื่องหมายจุลภาค 2 2 2 92" xfId="648"/>
    <cellStyle name="เครื่องหมายจุลภาค 2 2 2 93" xfId="649"/>
    <cellStyle name="เครื่องหมายจุลภาค 2 2 2 94" xfId="650"/>
    <cellStyle name="เครื่องหมายจุลภาค 2 2 2 95" xfId="651"/>
    <cellStyle name="เครื่องหมายจุลภาค 2 2 2 96" xfId="652"/>
    <cellStyle name="เครื่องหมายจุลภาค 2 2 2 97" xfId="653"/>
    <cellStyle name="เครื่องหมายจุลภาค 2 2 2 98" xfId="654"/>
    <cellStyle name="เครื่องหมายจุลภาค 2 2 2 99" xfId="655"/>
    <cellStyle name="เครื่องหมายจุลภาค 2 2 20" xfId="656"/>
    <cellStyle name="เครื่องหมายจุลภาค 2 2 200" xfId="657"/>
    <cellStyle name="เครื่องหมายจุลภาค 2 2 201" xfId="658"/>
    <cellStyle name="เครื่องหมายจุลภาค 2 2 202" xfId="659"/>
    <cellStyle name="เครื่องหมายจุลภาค 2 2 203" xfId="660"/>
    <cellStyle name="เครื่องหมายจุลภาค 2 2 204" xfId="661"/>
    <cellStyle name="เครื่องหมายจุลภาค 2 2 205" xfId="662"/>
    <cellStyle name="เครื่องหมายจุลภาค 2 2 206" xfId="663"/>
    <cellStyle name="เครื่องหมายจุลภาค 2 2 207" xfId="664"/>
    <cellStyle name="เครื่องหมายจุลภาค 2 2 208" xfId="665"/>
    <cellStyle name="เครื่องหมายจุลภาค 2 2 209" xfId="666"/>
    <cellStyle name="เครื่องหมายจุลภาค 2 2 21" xfId="667"/>
    <cellStyle name="เครื่องหมายจุลภาค 2 2 210" xfId="668"/>
    <cellStyle name="เครื่องหมายจุลภาค 2 2 211" xfId="669"/>
    <cellStyle name="เครื่องหมายจุลภาค 2 2 212" xfId="670"/>
    <cellStyle name="เครื่องหมายจุลภาค 2 2 213" xfId="671"/>
    <cellStyle name="เครื่องหมายจุลภาค 2 2 214" xfId="672"/>
    <cellStyle name="เครื่องหมายจุลภาค 2 2 215" xfId="673"/>
    <cellStyle name="เครื่องหมายจุลภาค 2 2 216" xfId="674"/>
    <cellStyle name="เครื่องหมายจุลภาค 2 2 217" xfId="675"/>
    <cellStyle name="เครื่องหมายจุลภาค 2 2 218" xfId="676"/>
    <cellStyle name="เครื่องหมายจุลภาค 2 2 219" xfId="677"/>
    <cellStyle name="เครื่องหมายจุลภาค 2 2 22" xfId="678"/>
    <cellStyle name="เครื่องหมายจุลภาค 2 2 220" xfId="679"/>
    <cellStyle name="เครื่องหมายจุลภาค 2 2 221" xfId="680"/>
    <cellStyle name="เครื่องหมายจุลภาค 2 2 222" xfId="681"/>
    <cellStyle name="เครื่องหมายจุลภาค 2 2 223" xfId="682"/>
    <cellStyle name="เครื่องหมายจุลภาค 2 2 224" xfId="683"/>
    <cellStyle name="เครื่องหมายจุลภาค 2 2 225" xfId="684"/>
    <cellStyle name="เครื่องหมายจุลภาค 2 2 226" xfId="685"/>
    <cellStyle name="เครื่องหมายจุลภาค 2 2 227" xfId="686"/>
    <cellStyle name="เครื่องหมายจุลภาค 2 2 228" xfId="687"/>
    <cellStyle name="เครื่องหมายจุลภาค 2 2 229" xfId="688"/>
    <cellStyle name="เครื่องหมายจุลภาค 2 2 23" xfId="689"/>
    <cellStyle name="เครื่องหมายจุลภาค 2 2 230" xfId="690"/>
    <cellStyle name="เครื่องหมายจุลภาค 2 2 231" xfId="691"/>
    <cellStyle name="เครื่องหมายจุลภาค 2 2 232" xfId="692"/>
    <cellStyle name="เครื่องหมายจุลภาค 2 2 233" xfId="693"/>
    <cellStyle name="เครื่องหมายจุลภาค 2 2 234" xfId="694"/>
    <cellStyle name="เครื่องหมายจุลภาค 2 2 235" xfId="695"/>
    <cellStyle name="เครื่องหมายจุลภาค 2 2 236" xfId="696"/>
    <cellStyle name="เครื่องหมายจุลภาค 2 2 237" xfId="697"/>
    <cellStyle name="เครื่องหมายจุลภาค 2 2 238" xfId="698"/>
    <cellStyle name="เครื่องหมายจุลภาค 2 2 239" xfId="699"/>
    <cellStyle name="เครื่องหมายจุลภาค 2 2 24" xfId="700"/>
    <cellStyle name="เครื่องหมายจุลภาค 2 2 240" xfId="701"/>
    <cellStyle name="เครื่องหมายจุลภาค 2 2 241" xfId="702"/>
    <cellStyle name="เครื่องหมายจุลภาค 2 2 242" xfId="703"/>
    <cellStyle name="เครื่องหมายจุลภาค 2 2 243" xfId="704"/>
    <cellStyle name="เครื่องหมายจุลภาค 2 2 244" xfId="705"/>
    <cellStyle name="เครื่องหมายจุลภาค 2 2 245" xfId="706"/>
    <cellStyle name="เครื่องหมายจุลภาค 2 2 246" xfId="707"/>
    <cellStyle name="เครื่องหมายจุลภาค 2 2 247" xfId="708"/>
    <cellStyle name="เครื่องหมายจุลภาค 2 2 248" xfId="709"/>
    <cellStyle name="เครื่องหมายจุลภาค 2 2 249" xfId="710"/>
    <cellStyle name="เครื่องหมายจุลภาค 2 2 25" xfId="711"/>
    <cellStyle name="เครื่องหมายจุลภาค 2 2 250" xfId="712"/>
    <cellStyle name="เครื่องหมายจุลภาค 2 2 251" xfId="713"/>
    <cellStyle name="เครื่องหมายจุลภาค 2 2 26" xfId="714"/>
    <cellStyle name="เครื่องหมายจุลภาค 2 2 27" xfId="715"/>
    <cellStyle name="เครื่องหมายจุลภาค 2 2 28" xfId="716"/>
    <cellStyle name="เครื่องหมายจุลภาค 2 2 29" xfId="717"/>
    <cellStyle name="เครื่องหมายจุลภาค 2 2 3" xfId="718"/>
    <cellStyle name="เครื่องหมายจุลภาค 2 2 3 2" xfId="719"/>
    <cellStyle name="เครื่องหมายจุลภาค 2 2 3 3" xfId="720"/>
    <cellStyle name="เครื่องหมายจุลภาค 2 2 3 4" xfId="721"/>
    <cellStyle name="เครื่องหมายจุลภาค 2 2 3 5" xfId="722"/>
    <cellStyle name="เครื่องหมายจุลภาค 2 2 3 6" xfId="723"/>
    <cellStyle name="เครื่องหมายจุลภาค 2 2 3 7" xfId="724"/>
    <cellStyle name="เครื่องหมายจุลภาค 2 2 3 8" xfId="725"/>
    <cellStyle name="เครื่องหมายจุลภาค 2 2 30" xfId="726"/>
    <cellStyle name="เครื่องหมายจุลภาค 2 2 31" xfId="727"/>
    <cellStyle name="เครื่องหมายจุลภาค 2 2 32" xfId="728"/>
    <cellStyle name="เครื่องหมายจุลภาค 2 2 33" xfId="729"/>
    <cellStyle name="เครื่องหมายจุลภาค 2 2 34" xfId="730"/>
    <cellStyle name="เครื่องหมายจุลภาค 2 2 35" xfId="731"/>
    <cellStyle name="เครื่องหมายจุลภาค 2 2 36" xfId="732"/>
    <cellStyle name="เครื่องหมายจุลภาค 2 2 37" xfId="733"/>
    <cellStyle name="เครื่องหมายจุลภาค 2 2 38" xfId="734"/>
    <cellStyle name="เครื่องหมายจุลภาค 2 2 39" xfId="735"/>
    <cellStyle name="เครื่องหมายจุลภาค 2 2 4" xfId="736"/>
    <cellStyle name="เครื่องหมายจุลภาค 2 2 4 2" xfId="737"/>
    <cellStyle name="เครื่องหมายจุลภาค 2 2 4 3" xfId="738"/>
    <cellStyle name="เครื่องหมายจุลภาค 2 2 4 4" xfId="739"/>
    <cellStyle name="เครื่องหมายจุลภาค 2 2 4 5" xfId="740"/>
    <cellStyle name="เครื่องหมายจุลภาค 2 2 4 6" xfId="741"/>
    <cellStyle name="เครื่องหมายจุลภาค 2 2 4 7" xfId="742"/>
    <cellStyle name="เครื่องหมายจุลภาค 2 2 4 8" xfId="743"/>
    <cellStyle name="เครื่องหมายจุลภาค 2 2 40" xfId="744"/>
    <cellStyle name="เครื่องหมายจุลภาค 2 2 41" xfId="745"/>
    <cellStyle name="เครื่องหมายจุลภาค 2 2 42" xfId="746"/>
    <cellStyle name="เครื่องหมายจุลภาค 2 2 43" xfId="747"/>
    <cellStyle name="เครื่องหมายจุลภาค 2 2 44" xfId="748"/>
    <cellStyle name="เครื่องหมายจุลภาค 2 2 45" xfId="749"/>
    <cellStyle name="เครื่องหมายจุลภาค 2 2 46" xfId="750"/>
    <cellStyle name="เครื่องหมายจุลภาค 2 2 47" xfId="751"/>
    <cellStyle name="เครื่องหมายจุลภาค 2 2 48" xfId="752"/>
    <cellStyle name="เครื่องหมายจุลภาค 2 2 49" xfId="753"/>
    <cellStyle name="เครื่องหมายจุลภาค 2 2 5" xfId="754"/>
    <cellStyle name="เครื่องหมายจุลภาค 2 2 50" xfId="755"/>
    <cellStyle name="เครื่องหมายจุลภาค 2 2 51" xfId="756"/>
    <cellStyle name="เครื่องหมายจุลภาค 2 2 52" xfId="757"/>
    <cellStyle name="เครื่องหมายจุลภาค 2 2 53" xfId="758"/>
    <cellStyle name="เครื่องหมายจุลภาค 2 2 54" xfId="759"/>
    <cellStyle name="เครื่องหมายจุลภาค 2 2 55" xfId="760"/>
    <cellStyle name="เครื่องหมายจุลภาค 2 2 56" xfId="761"/>
    <cellStyle name="เครื่องหมายจุลภาค 2 2 57" xfId="762"/>
    <cellStyle name="เครื่องหมายจุลภาค 2 2 58" xfId="763"/>
    <cellStyle name="เครื่องหมายจุลภาค 2 2 59" xfId="764"/>
    <cellStyle name="เครื่องหมายจุลภาค 2 2 6" xfId="765"/>
    <cellStyle name="เครื่องหมายจุลภาค 2 2 60" xfId="766"/>
    <cellStyle name="เครื่องหมายจุลภาค 2 2 61" xfId="767"/>
    <cellStyle name="เครื่องหมายจุลภาค 2 2 62" xfId="768"/>
    <cellStyle name="เครื่องหมายจุลภาค 2 2 63" xfId="769"/>
    <cellStyle name="เครื่องหมายจุลภาค 2 2 64" xfId="770"/>
    <cellStyle name="เครื่องหมายจุลภาค 2 2 65" xfId="771"/>
    <cellStyle name="เครื่องหมายจุลภาค 2 2 66" xfId="772"/>
    <cellStyle name="เครื่องหมายจุลภาค 2 2 67" xfId="773"/>
    <cellStyle name="เครื่องหมายจุลภาค 2 2 68" xfId="774"/>
    <cellStyle name="เครื่องหมายจุลภาค 2 2 69" xfId="775"/>
    <cellStyle name="เครื่องหมายจุลภาค 2 2 7" xfId="776"/>
    <cellStyle name="เครื่องหมายจุลภาค 2 2 70" xfId="777"/>
    <cellStyle name="เครื่องหมายจุลภาค 2 2 71" xfId="778"/>
    <cellStyle name="เครื่องหมายจุลภาค 2 2 72" xfId="779"/>
    <cellStyle name="เครื่องหมายจุลภาค 2 2 73" xfId="780"/>
    <cellStyle name="เครื่องหมายจุลภาค 2 2 74" xfId="781"/>
    <cellStyle name="เครื่องหมายจุลภาค 2 2 75" xfId="782"/>
    <cellStyle name="เครื่องหมายจุลภาค 2 2 76" xfId="783"/>
    <cellStyle name="เครื่องหมายจุลภาค 2 2 77" xfId="784"/>
    <cellStyle name="เครื่องหมายจุลภาค 2 2 78" xfId="785"/>
    <cellStyle name="เครื่องหมายจุลภาค 2 2 79" xfId="786"/>
    <cellStyle name="เครื่องหมายจุลภาค 2 2 8" xfId="787"/>
    <cellStyle name="เครื่องหมายจุลภาค 2 2 80" xfId="788"/>
    <cellStyle name="เครื่องหมายจุลภาค 2 2 81" xfId="789"/>
    <cellStyle name="เครื่องหมายจุลภาค 2 2 82" xfId="790"/>
    <cellStyle name="เครื่องหมายจุลภาค 2 2 83" xfId="791"/>
    <cellStyle name="เครื่องหมายจุลภาค 2 2 84" xfId="792"/>
    <cellStyle name="เครื่องหมายจุลภาค 2 2 85" xfId="793"/>
    <cellStyle name="เครื่องหมายจุลภาค 2 2 86" xfId="794"/>
    <cellStyle name="เครื่องหมายจุลภาค 2 2 87" xfId="795"/>
    <cellStyle name="เครื่องหมายจุลภาค 2 2 88" xfId="796"/>
    <cellStyle name="เครื่องหมายจุลภาค 2 2 89" xfId="797"/>
    <cellStyle name="เครื่องหมายจุลภาค 2 2 9" xfId="798"/>
    <cellStyle name="เครื่องหมายจุลภาค 2 2 90" xfId="799"/>
    <cellStyle name="เครื่องหมายจุลภาค 2 2 91" xfId="800"/>
    <cellStyle name="เครื่องหมายจุลภาค 2 2 92" xfId="801"/>
    <cellStyle name="เครื่องหมายจุลภาค 2 2 93" xfId="802"/>
    <cellStyle name="เครื่องหมายจุลภาค 2 2 94" xfId="803"/>
    <cellStyle name="เครื่องหมายจุลภาค 2 2 95" xfId="804"/>
    <cellStyle name="เครื่องหมายจุลภาค 2 2 96" xfId="805"/>
    <cellStyle name="เครื่องหมายจุลภาค 2 2 97" xfId="806"/>
    <cellStyle name="เครื่องหมายจุลภาค 2 2 98" xfId="807"/>
    <cellStyle name="เครื่องหมายจุลภาค 2 2 99" xfId="808"/>
    <cellStyle name="เครื่องหมายจุลภาค 2 20" xfId="809"/>
    <cellStyle name="เครื่องหมายจุลภาค 2 200" xfId="810"/>
    <cellStyle name="เครื่องหมายจุลภาค 2 201" xfId="811"/>
    <cellStyle name="เครื่องหมายจุลภาค 2 202" xfId="812"/>
    <cellStyle name="เครื่องหมายจุลภาค 2 203" xfId="813"/>
    <cellStyle name="เครื่องหมายจุลภาค 2 204" xfId="814"/>
    <cellStyle name="เครื่องหมายจุลภาค 2 205" xfId="815"/>
    <cellStyle name="เครื่องหมายจุลภาค 2 206" xfId="816"/>
    <cellStyle name="เครื่องหมายจุลภาค 2 207" xfId="817"/>
    <cellStyle name="เครื่องหมายจุลภาค 2 208" xfId="818"/>
    <cellStyle name="เครื่องหมายจุลภาค 2 209" xfId="819"/>
    <cellStyle name="เครื่องหมายจุลภาค 2 21" xfId="820"/>
    <cellStyle name="เครื่องหมายจุลภาค 2 210" xfId="821"/>
    <cellStyle name="เครื่องหมายจุลภาค 2 211" xfId="822"/>
    <cellStyle name="เครื่องหมายจุลภาค 2 212" xfId="823"/>
    <cellStyle name="เครื่องหมายจุลภาค 2 213" xfId="824"/>
    <cellStyle name="เครื่องหมายจุลภาค 2 214" xfId="825"/>
    <cellStyle name="เครื่องหมายจุลภาค 2 215" xfId="826"/>
    <cellStyle name="เครื่องหมายจุลภาค 2 216" xfId="827"/>
    <cellStyle name="เครื่องหมายจุลภาค 2 217" xfId="828"/>
    <cellStyle name="เครื่องหมายจุลภาค 2 218" xfId="829"/>
    <cellStyle name="เครื่องหมายจุลภาค 2 219" xfId="830"/>
    <cellStyle name="เครื่องหมายจุลภาค 2 22" xfId="831"/>
    <cellStyle name="เครื่องหมายจุลภาค 2 220" xfId="832"/>
    <cellStyle name="เครื่องหมายจุลภาค 2 221" xfId="833"/>
    <cellStyle name="เครื่องหมายจุลภาค 2 222" xfId="834"/>
    <cellStyle name="เครื่องหมายจุลภาค 2 223" xfId="835"/>
    <cellStyle name="เครื่องหมายจุลภาค 2 224" xfId="836"/>
    <cellStyle name="เครื่องหมายจุลภาค 2 225" xfId="837"/>
    <cellStyle name="เครื่องหมายจุลภาค 2 226" xfId="838"/>
    <cellStyle name="เครื่องหมายจุลภาค 2 227" xfId="839"/>
    <cellStyle name="เครื่องหมายจุลภาค 2 228" xfId="840"/>
    <cellStyle name="เครื่องหมายจุลภาค 2 229" xfId="841"/>
    <cellStyle name="เครื่องหมายจุลภาค 2 23" xfId="842"/>
    <cellStyle name="เครื่องหมายจุลภาค 2 230" xfId="843"/>
    <cellStyle name="เครื่องหมายจุลภาค 2 231" xfId="844"/>
    <cellStyle name="เครื่องหมายจุลภาค 2 232" xfId="845"/>
    <cellStyle name="เครื่องหมายจุลภาค 2 233" xfId="846"/>
    <cellStyle name="เครื่องหมายจุลภาค 2 234" xfId="847"/>
    <cellStyle name="เครื่องหมายจุลภาค 2 235" xfId="848"/>
    <cellStyle name="เครื่องหมายจุลภาค 2 236" xfId="849"/>
    <cellStyle name="เครื่องหมายจุลภาค 2 237" xfId="850"/>
    <cellStyle name="เครื่องหมายจุลภาค 2 238" xfId="851"/>
    <cellStyle name="เครื่องหมายจุลภาค 2 239" xfId="852"/>
    <cellStyle name="เครื่องหมายจุลภาค 2 24" xfId="853"/>
    <cellStyle name="เครื่องหมายจุลภาค 2 240" xfId="854"/>
    <cellStyle name="เครื่องหมายจุลภาค 2 241" xfId="855"/>
    <cellStyle name="เครื่องหมายจุลภาค 2 242" xfId="856"/>
    <cellStyle name="เครื่องหมายจุลภาค 2 243" xfId="857"/>
    <cellStyle name="เครื่องหมายจุลภาค 2 244" xfId="858"/>
    <cellStyle name="เครื่องหมายจุลภาค 2 245" xfId="859"/>
    <cellStyle name="เครื่องหมายจุลภาค 2 246" xfId="860"/>
    <cellStyle name="เครื่องหมายจุลภาค 2 247" xfId="861"/>
    <cellStyle name="เครื่องหมายจุลภาค 2 25" xfId="862"/>
    <cellStyle name="เครื่องหมายจุลภาค 2 26" xfId="863"/>
    <cellStyle name="เครื่องหมายจุลภาค 2 27" xfId="864"/>
    <cellStyle name="เครื่องหมายจุลภาค 2 28" xfId="865"/>
    <cellStyle name="เครื่องหมายจุลภาค 2 29" xfId="866"/>
    <cellStyle name="เครื่องหมายจุลภาค 2 3" xfId="867"/>
    <cellStyle name="เครื่องหมายจุลภาค 2 3 10" xfId="868"/>
    <cellStyle name="เครื่องหมายจุลภาค 2 3 100" xfId="869"/>
    <cellStyle name="เครื่องหมายจุลภาค 2 3 101" xfId="870"/>
    <cellStyle name="เครื่องหมายจุลภาค 2 3 102" xfId="871"/>
    <cellStyle name="เครื่องหมายจุลภาค 2 3 103" xfId="872"/>
    <cellStyle name="เครื่องหมายจุลภาค 2 3 104" xfId="873"/>
    <cellStyle name="เครื่องหมายจุลภาค 2 3 105" xfId="874"/>
    <cellStyle name="เครื่องหมายจุลภาค 2 3 106" xfId="875"/>
    <cellStyle name="เครื่องหมายจุลภาค 2 3 107" xfId="876"/>
    <cellStyle name="เครื่องหมายจุลภาค 2 3 108" xfId="877"/>
    <cellStyle name="เครื่องหมายจุลภาค 2 3 109" xfId="878"/>
    <cellStyle name="เครื่องหมายจุลภาค 2 3 11" xfId="879"/>
    <cellStyle name="เครื่องหมายจุลภาค 2 3 110" xfId="880"/>
    <cellStyle name="เครื่องหมายจุลภาค 2 3 111" xfId="881"/>
    <cellStyle name="เครื่องหมายจุลภาค 2 3 112" xfId="882"/>
    <cellStyle name="เครื่องหมายจุลภาค 2 3 113" xfId="883"/>
    <cellStyle name="เครื่องหมายจุลภาค 2 3 114" xfId="884"/>
    <cellStyle name="เครื่องหมายจุลภาค 2 3 115" xfId="885"/>
    <cellStyle name="เครื่องหมายจุลภาค 2 3 116" xfId="886"/>
    <cellStyle name="เครื่องหมายจุลภาค 2 3 117" xfId="887"/>
    <cellStyle name="เครื่องหมายจุลภาค 2 3 118" xfId="888"/>
    <cellStyle name="เครื่องหมายจุลภาค 2 3 119" xfId="889"/>
    <cellStyle name="เครื่องหมายจุลภาค 2 3 12" xfId="890"/>
    <cellStyle name="เครื่องหมายจุลภาค 2 3 120" xfId="891"/>
    <cellStyle name="เครื่องหมายจุลภาค 2 3 121" xfId="892"/>
    <cellStyle name="เครื่องหมายจุลภาค 2 3 122" xfId="893"/>
    <cellStyle name="เครื่องหมายจุลภาค 2 3 123" xfId="894"/>
    <cellStyle name="เครื่องหมายจุลภาค 2 3 124" xfId="895"/>
    <cellStyle name="เครื่องหมายจุลภาค 2 3 125" xfId="896"/>
    <cellStyle name="เครื่องหมายจุลภาค 2 3 126" xfId="897"/>
    <cellStyle name="เครื่องหมายจุลภาค 2 3 127" xfId="898"/>
    <cellStyle name="เครื่องหมายจุลภาค 2 3 128" xfId="899"/>
    <cellStyle name="เครื่องหมายจุลภาค 2 3 129" xfId="900"/>
    <cellStyle name="เครื่องหมายจุลภาค 2 3 13" xfId="901"/>
    <cellStyle name="เครื่องหมายจุลภาค 2 3 130" xfId="902"/>
    <cellStyle name="เครื่องหมายจุลภาค 2 3 131" xfId="903"/>
    <cellStyle name="เครื่องหมายจุลภาค 2 3 132" xfId="904"/>
    <cellStyle name="เครื่องหมายจุลภาค 2 3 133" xfId="905"/>
    <cellStyle name="เครื่องหมายจุลภาค 2 3 134" xfId="906"/>
    <cellStyle name="เครื่องหมายจุลภาค 2 3 135" xfId="907"/>
    <cellStyle name="เครื่องหมายจุลภาค 2 3 136" xfId="908"/>
    <cellStyle name="เครื่องหมายจุลภาค 2 3 137" xfId="909"/>
    <cellStyle name="เครื่องหมายจุลภาค 2 3 138" xfId="910"/>
    <cellStyle name="เครื่องหมายจุลภาค 2 3 139" xfId="911"/>
    <cellStyle name="เครื่องหมายจุลภาค 2 3 14" xfId="912"/>
    <cellStyle name="เครื่องหมายจุลภาค 2 3 140" xfId="913"/>
    <cellStyle name="เครื่องหมายจุลภาค 2 3 141" xfId="914"/>
    <cellStyle name="เครื่องหมายจุลภาค 2 3 142" xfId="915"/>
    <cellStyle name="เครื่องหมายจุลภาค 2 3 143" xfId="916"/>
    <cellStyle name="เครื่องหมายจุลภาค 2 3 144" xfId="917"/>
    <cellStyle name="เครื่องหมายจุลภาค 2 3 145" xfId="918"/>
    <cellStyle name="เครื่องหมายจุลภาค 2 3 146" xfId="919"/>
    <cellStyle name="เครื่องหมายจุลภาค 2 3 147" xfId="920"/>
    <cellStyle name="เครื่องหมายจุลภาค 2 3 148" xfId="921"/>
    <cellStyle name="เครื่องหมายจุลภาค 2 3 149" xfId="922"/>
    <cellStyle name="เครื่องหมายจุลภาค 2 3 15" xfId="923"/>
    <cellStyle name="เครื่องหมายจุลภาค 2 3 150" xfId="924"/>
    <cellStyle name="เครื่องหมายจุลภาค 2 3 151" xfId="925"/>
    <cellStyle name="เครื่องหมายจุลภาค 2 3 152" xfId="926"/>
    <cellStyle name="เครื่องหมายจุลภาค 2 3 153" xfId="927"/>
    <cellStyle name="เครื่องหมายจุลภาค 2 3 154" xfId="928"/>
    <cellStyle name="เครื่องหมายจุลภาค 2 3 155" xfId="929"/>
    <cellStyle name="เครื่องหมายจุลภาค 2 3 156" xfId="930"/>
    <cellStyle name="เครื่องหมายจุลภาค 2 3 157" xfId="931"/>
    <cellStyle name="เครื่องหมายจุลภาค 2 3 158" xfId="932"/>
    <cellStyle name="เครื่องหมายจุลภาค 2 3 159" xfId="933"/>
    <cellStyle name="เครื่องหมายจุลภาค 2 3 16" xfId="934"/>
    <cellStyle name="เครื่องหมายจุลภาค 2 3 160" xfId="935"/>
    <cellStyle name="เครื่องหมายจุลภาค 2 3 161" xfId="936"/>
    <cellStyle name="เครื่องหมายจุลภาค 2 3 162" xfId="937"/>
    <cellStyle name="เครื่องหมายจุลภาค 2 3 163" xfId="938"/>
    <cellStyle name="เครื่องหมายจุลภาค 2 3 164" xfId="939"/>
    <cellStyle name="เครื่องหมายจุลภาค 2 3 165" xfId="940"/>
    <cellStyle name="เครื่องหมายจุลภาค 2 3 166" xfId="941"/>
    <cellStyle name="เครื่องหมายจุลภาค 2 3 167" xfId="942"/>
    <cellStyle name="เครื่องหมายจุลภาค 2 3 168" xfId="943"/>
    <cellStyle name="เครื่องหมายจุลภาค 2 3 169" xfId="944"/>
    <cellStyle name="เครื่องหมายจุลภาค 2 3 17" xfId="945"/>
    <cellStyle name="เครื่องหมายจุลภาค 2 3 170" xfId="946"/>
    <cellStyle name="เครื่องหมายจุลภาค 2 3 171" xfId="947"/>
    <cellStyle name="เครื่องหมายจุลภาค 2 3 172" xfId="948"/>
    <cellStyle name="เครื่องหมายจุลภาค 2 3 173" xfId="949"/>
    <cellStyle name="เครื่องหมายจุลภาค 2 3 174" xfId="950"/>
    <cellStyle name="เครื่องหมายจุลภาค 2 3 175" xfId="951"/>
    <cellStyle name="เครื่องหมายจุลภาค 2 3 176" xfId="952"/>
    <cellStyle name="เครื่องหมายจุลภาค 2 3 177" xfId="953"/>
    <cellStyle name="เครื่องหมายจุลภาค 2 3 178" xfId="954"/>
    <cellStyle name="เครื่องหมายจุลภาค 2 3 179" xfId="955"/>
    <cellStyle name="เครื่องหมายจุลภาค 2 3 18" xfId="956"/>
    <cellStyle name="เครื่องหมายจุลภาค 2 3 180" xfId="957"/>
    <cellStyle name="เครื่องหมายจุลภาค 2 3 181" xfId="958"/>
    <cellStyle name="เครื่องหมายจุลภาค 2 3 182" xfId="959"/>
    <cellStyle name="เครื่องหมายจุลภาค 2 3 183" xfId="960"/>
    <cellStyle name="เครื่องหมายจุลภาค 2 3 184" xfId="961"/>
    <cellStyle name="เครื่องหมายจุลภาค 2 3 185" xfId="962"/>
    <cellStyle name="เครื่องหมายจุลภาค 2 3 186" xfId="963"/>
    <cellStyle name="เครื่องหมายจุลภาค 2 3 187" xfId="964"/>
    <cellStyle name="เครื่องหมายจุลภาค 2 3 188" xfId="965"/>
    <cellStyle name="เครื่องหมายจุลภาค 2 3 189" xfId="966"/>
    <cellStyle name="เครื่องหมายจุลภาค 2 3 19" xfId="967"/>
    <cellStyle name="เครื่องหมายจุลภาค 2 3 190" xfId="968"/>
    <cellStyle name="เครื่องหมายจุลภาค 2 3 191" xfId="969"/>
    <cellStyle name="เครื่องหมายจุลภาค 2 3 192" xfId="970"/>
    <cellStyle name="เครื่องหมายจุลภาค 2 3 193" xfId="971"/>
    <cellStyle name="เครื่องหมายจุลภาค 2 3 194" xfId="972"/>
    <cellStyle name="เครื่องหมายจุลภาค 2 3 195" xfId="973"/>
    <cellStyle name="เครื่องหมายจุลภาค 2 3 196" xfId="974"/>
    <cellStyle name="เครื่องหมายจุลภาค 2 3 197" xfId="975"/>
    <cellStyle name="เครื่องหมายจุลภาค 2 3 198" xfId="976"/>
    <cellStyle name="เครื่องหมายจุลภาค 2 3 199" xfId="977"/>
    <cellStyle name="เครื่องหมายจุลภาค 2 3 2" xfId="978"/>
    <cellStyle name="เครื่องหมายจุลภาค 2 3 2 2" xfId="979"/>
    <cellStyle name="เครื่องหมายจุลภาค 2 3 2 3" xfId="980"/>
    <cellStyle name="เครื่องหมายจุลภาค 2 3 2 3 2" xfId="981"/>
    <cellStyle name="เครื่องหมายจุลภาค 2 3 2 4" xfId="982"/>
    <cellStyle name="เครื่องหมายจุลภาค 2 3 2 5" xfId="983"/>
    <cellStyle name="เครื่องหมายจุลภาค 2 3 2 6" xfId="984"/>
    <cellStyle name="เครื่องหมายจุลภาค 2 3 2 7" xfId="985"/>
    <cellStyle name="เครื่องหมายจุลภาค 2 3 20" xfId="986"/>
    <cellStyle name="เครื่องหมายจุลภาค 2 3 200" xfId="987"/>
    <cellStyle name="เครื่องหมายจุลภาค 2 3 201" xfId="988"/>
    <cellStyle name="เครื่องหมายจุลภาค 2 3 202" xfId="989"/>
    <cellStyle name="เครื่องหมายจุลภาค 2 3 203" xfId="990"/>
    <cellStyle name="เครื่องหมายจุลภาค 2 3 204" xfId="991"/>
    <cellStyle name="เครื่องหมายจุลภาค 2 3 205" xfId="992"/>
    <cellStyle name="เครื่องหมายจุลภาค 2 3 206" xfId="993"/>
    <cellStyle name="เครื่องหมายจุลภาค 2 3 207" xfId="994"/>
    <cellStyle name="เครื่องหมายจุลภาค 2 3 208" xfId="995"/>
    <cellStyle name="เครื่องหมายจุลภาค 2 3 209" xfId="996"/>
    <cellStyle name="เครื่องหมายจุลภาค 2 3 21" xfId="997"/>
    <cellStyle name="เครื่องหมายจุลภาค 2 3 210" xfId="998"/>
    <cellStyle name="เครื่องหมายจุลภาค 2 3 211" xfId="999"/>
    <cellStyle name="เครื่องหมายจุลภาค 2 3 212" xfId="1000"/>
    <cellStyle name="เครื่องหมายจุลภาค 2 3 213" xfId="1001"/>
    <cellStyle name="เครื่องหมายจุลภาค 2 3 214" xfId="1002"/>
    <cellStyle name="เครื่องหมายจุลภาค 2 3 215" xfId="1003"/>
    <cellStyle name="เครื่องหมายจุลภาค 2 3 216" xfId="1004"/>
    <cellStyle name="เครื่องหมายจุลภาค 2 3 217" xfId="1005"/>
    <cellStyle name="เครื่องหมายจุลภาค 2 3 218" xfId="1006"/>
    <cellStyle name="เครื่องหมายจุลภาค 2 3 219" xfId="1007"/>
    <cellStyle name="เครื่องหมายจุลภาค 2 3 22" xfId="1008"/>
    <cellStyle name="เครื่องหมายจุลภาค 2 3 220" xfId="1009"/>
    <cellStyle name="เครื่องหมายจุลภาค 2 3 221" xfId="1010"/>
    <cellStyle name="เครื่องหมายจุลภาค 2 3 222" xfId="1011"/>
    <cellStyle name="เครื่องหมายจุลภาค 2 3 223" xfId="1012"/>
    <cellStyle name="เครื่องหมายจุลภาค 2 3 224" xfId="1013"/>
    <cellStyle name="เครื่องหมายจุลภาค 2 3 225" xfId="1014"/>
    <cellStyle name="เครื่องหมายจุลภาค 2 3 226" xfId="1015"/>
    <cellStyle name="เครื่องหมายจุลภาค 2 3 227" xfId="1016"/>
    <cellStyle name="เครื่องหมายจุลภาค 2 3 228" xfId="1017"/>
    <cellStyle name="เครื่องหมายจุลภาค 2 3 229" xfId="1018"/>
    <cellStyle name="เครื่องหมายจุลภาค 2 3 23" xfId="1019"/>
    <cellStyle name="เครื่องหมายจุลภาค 2 3 230" xfId="1020"/>
    <cellStyle name="เครื่องหมายจุลภาค 2 3 231" xfId="1021"/>
    <cellStyle name="เครื่องหมายจุลภาค 2 3 232" xfId="1022"/>
    <cellStyle name="เครื่องหมายจุลภาค 2 3 233" xfId="1023"/>
    <cellStyle name="เครื่องหมายจุลภาค 2 3 234" xfId="1024"/>
    <cellStyle name="เครื่องหมายจุลภาค 2 3 235" xfId="1025"/>
    <cellStyle name="เครื่องหมายจุลภาค 2 3 236" xfId="1026"/>
    <cellStyle name="เครื่องหมายจุลภาค 2 3 237" xfId="1027"/>
    <cellStyle name="เครื่องหมายจุลภาค 2 3 238" xfId="1028"/>
    <cellStyle name="เครื่องหมายจุลภาค 2 3 239" xfId="1029"/>
    <cellStyle name="เครื่องหมายจุลภาค 2 3 24" xfId="1030"/>
    <cellStyle name="เครื่องหมายจุลภาค 2 3 240" xfId="1031"/>
    <cellStyle name="เครื่องหมายจุลภาค 2 3 241" xfId="1032"/>
    <cellStyle name="เครื่องหมายจุลภาค 2 3 242" xfId="1033"/>
    <cellStyle name="เครื่องหมายจุลภาค 2 3 243" xfId="1034"/>
    <cellStyle name="เครื่องหมายจุลภาค 2 3 244" xfId="1035"/>
    <cellStyle name="เครื่องหมายจุลภาค 2 3 245" xfId="1036"/>
    <cellStyle name="เครื่องหมายจุลภาค 2 3 246" xfId="1037"/>
    <cellStyle name="เครื่องหมายจุลภาค 2 3 247" xfId="1038"/>
    <cellStyle name="เครื่องหมายจุลภาค 2 3 248" xfId="1039"/>
    <cellStyle name="เครื่องหมายจุลภาค 2 3 249" xfId="1040"/>
    <cellStyle name="เครื่องหมายจุลภาค 2 3 25" xfId="1041"/>
    <cellStyle name="เครื่องหมายจุลภาค 2 3 250" xfId="1042"/>
    <cellStyle name="เครื่องหมายจุลภาค 2 3 251" xfId="1043"/>
    <cellStyle name="เครื่องหมายจุลภาค 2 3 252" xfId="1044"/>
    <cellStyle name="เครื่องหมายจุลภาค 2 3 253" xfId="1045"/>
    <cellStyle name="เครื่องหมายจุลภาค 2 3 254" xfId="1046"/>
    <cellStyle name="เครื่องหมายจุลภาค 2 3 26" xfId="1047"/>
    <cellStyle name="เครื่องหมายจุลภาค 2 3 27" xfId="1048"/>
    <cellStyle name="เครื่องหมายจุลภาค 2 3 28" xfId="1049"/>
    <cellStyle name="เครื่องหมายจุลภาค 2 3 29" xfId="1050"/>
    <cellStyle name="เครื่องหมายจุลภาค 2 3 3" xfId="1051"/>
    <cellStyle name="เครื่องหมายจุลภาค 2 3 30" xfId="1052"/>
    <cellStyle name="เครื่องหมายจุลภาค 2 3 31" xfId="1053"/>
    <cellStyle name="เครื่องหมายจุลภาค 2 3 32" xfId="1054"/>
    <cellStyle name="เครื่องหมายจุลภาค 2 3 33" xfId="1055"/>
    <cellStyle name="เครื่องหมายจุลภาค 2 3 34" xfId="1056"/>
    <cellStyle name="เครื่องหมายจุลภาค 2 3 35" xfId="1057"/>
    <cellStyle name="เครื่องหมายจุลภาค 2 3 36" xfId="1058"/>
    <cellStyle name="เครื่องหมายจุลภาค 2 3 37" xfId="1059"/>
    <cellStyle name="เครื่องหมายจุลภาค 2 3 38" xfId="1060"/>
    <cellStyle name="เครื่องหมายจุลภาค 2 3 39" xfId="1061"/>
    <cellStyle name="เครื่องหมายจุลภาค 2 3 4" xfId="1062"/>
    <cellStyle name="เครื่องหมายจุลภาค 2 3 40" xfId="1063"/>
    <cellStyle name="เครื่องหมายจุลภาค 2 3 41" xfId="1064"/>
    <cellStyle name="เครื่องหมายจุลภาค 2 3 42" xfId="1065"/>
    <cellStyle name="เครื่องหมายจุลภาค 2 3 43" xfId="1066"/>
    <cellStyle name="เครื่องหมายจุลภาค 2 3 44" xfId="1067"/>
    <cellStyle name="เครื่องหมายจุลภาค 2 3 45" xfId="1068"/>
    <cellStyle name="เครื่องหมายจุลภาค 2 3 46" xfId="1069"/>
    <cellStyle name="เครื่องหมายจุลภาค 2 3 47" xfId="1070"/>
    <cellStyle name="เครื่องหมายจุลภาค 2 3 48" xfId="1071"/>
    <cellStyle name="เครื่องหมายจุลภาค 2 3 49" xfId="1072"/>
    <cellStyle name="เครื่องหมายจุลภาค 2 3 5" xfId="1073"/>
    <cellStyle name="เครื่องหมายจุลภาค 2 3 50" xfId="1074"/>
    <cellStyle name="เครื่องหมายจุลภาค 2 3 51" xfId="1075"/>
    <cellStyle name="เครื่องหมายจุลภาค 2 3 52" xfId="1076"/>
    <cellStyle name="เครื่องหมายจุลภาค 2 3 53" xfId="1077"/>
    <cellStyle name="เครื่องหมายจุลภาค 2 3 54" xfId="1078"/>
    <cellStyle name="เครื่องหมายจุลภาค 2 3 55" xfId="1079"/>
    <cellStyle name="เครื่องหมายจุลภาค 2 3 56" xfId="1080"/>
    <cellStyle name="เครื่องหมายจุลภาค 2 3 57" xfId="1081"/>
    <cellStyle name="เครื่องหมายจุลภาค 2 3 58" xfId="1082"/>
    <cellStyle name="เครื่องหมายจุลภาค 2 3 59" xfId="1083"/>
    <cellStyle name="เครื่องหมายจุลภาค 2 3 6" xfId="1084"/>
    <cellStyle name="เครื่องหมายจุลภาค 2 3 60" xfId="1085"/>
    <cellStyle name="เครื่องหมายจุลภาค 2 3 61" xfId="1086"/>
    <cellStyle name="เครื่องหมายจุลภาค 2 3 62" xfId="1087"/>
    <cellStyle name="เครื่องหมายจุลภาค 2 3 63" xfId="1088"/>
    <cellStyle name="เครื่องหมายจุลภาค 2 3 64" xfId="1089"/>
    <cellStyle name="เครื่องหมายจุลภาค 2 3 65" xfId="1090"/>
    <cellStyle name="เครื่องหมายจุลภาค 2 3 66" xfId="1091"/>
    <cellStyle name="เครื่องหมายจุลภาค 2 3 67" xfId="1092"/>
    <cellStyle name="เครื่องหมายจุลภาค 2 3 68" xfId="1093"/>
    <cellStyle name="เครื่องหมายจุลภาค 2 3 69" xfId="1094"/>
    <cellStyle name="เครื่องหมายจุลภาค 2 3 7" xfId="1095"/>
    <cellStyle name="เครื่องหมายจุลภาค 2 3 70" xfId="1096"/>
    <cellStyle name="เครื่องหมายจุลภาค 2 3 71" xfId="1097"/>
    <cellStyle name="เครื่องหมายจุลภาค 2 3 72" xfId="1098"/>
    <cellStyle name="เครื่องหมายจุลภาค 2 3 73" xfId="1099"/>
    <cellStyle name="เครื่องหมายจุลภาค 2 3 74" xfId="1100"/>
    <cellStyle name="เครื่องหมายจุลภาค 2 3 75" xfId="1101"/>
    <cellStyle name="เครื่องหมายจุลภาค 2 3 76" xfId="1102"/>
    <cellStyle name="เครื่องหมายจุลภาค 2 3 77" xfId="1103"/>
    <cellStyle name="เครื่องหมายจุลภาค 2 3 78" xfId="1104"/>
    <cellStyle name="เครื่องหมายจุลภาค 2 3 79" xfId="1105"/>
    <cellStyle name="เครื่องหมายจุลภาค 2 3 8" xfId="1106"/>
    <cellStyle name="เครื่องหมายจุลภาค 2 3 80" xfId="1107"/>
    <cellStyle name="เครื่องหมายจุลภาค 2 3 81" xfId="1108"/>
    <cellStyle name="เครื่องหมายจุลภาค 2 3 82" xfId="1109"/>
    <cellStyle name="เครื่องหมายจุลภาค 2 3 83" xfId="1110"/>
    <cellStyle name="เครื่องหมายจุลภาค 2 3 84" xfId="1111"/>
    <cellStyle name="เครื่องหมายจุลภาค 2 3 85" xfId="1112"/>
    <cellStyle name="เครื่องหมายจุลภาค 2 3 86" xfId="1113"/>
    <cellStyle name="เครื่องหมายจุลภาค 2 3 87" xfId="1114"/>
    <cellStyle name="เครื่องหมายจุลภาค 2 3 88" xfId="1115"/>
    <cellStyle name="เครื่องหมายจุลภาค 2 3 89" xfId="1116"/>
    <cellStyle name="เครื่องหมายจุลภาค 2 3 9" xfId="1117"/>
    <cellStyle name="เครื่องหมายจุลภาค 2 3 90" xfId="1118"/>
    <cellStyle name="เครื่องหมายจุลภาค 2 3 91" xfId="1119"/>
    <cellStyle name="เครื่องหมายจุลภาค 2 3 92" xfId="1120"/>
    <cellStyle name="เครื่องหมายจุลภาค 2 3 93" xfId="1121"/>
    <cellStyle name="เครื่องหมายจุลภาค 2 3 94" xfId="1122"/>
    <cellStyle name="เครื่องหมายจุลภาค 2 3 95" xfId="1123"/>
    <cellStyle name="เครื่องหมายจุลภาค 2 3 96" xfId="1124"/>
    <cellStyle name="เครื่องหมายจุลภาค 2 3 97" xfId="1125"/>
    <cellStyle name="เครื่องหมายจุลภาค 2 3 98" xfId="1126"/>
    <cellStyle name="เครื่องหมายจุลภาค 2 3 99" xfId="1127"/>
    <cellStyle name="เครื่องหมายจุลภาค 2 30" xfId="1128"/>
    <cellStyle name="เครื่องหมายจุลภาค 2 31" xfId="1129"/>
    <cellStyle name="เครื่องหมายจุลภาค 2 32" xfId="1130"/>
    <cellStyle name="เครื่องหมายจุลภาค 2 33" xfId="1131"/>
    <cellStyle name="เครื่องหมายจุลภาค 2 34" xfId="1132"/>
    <cellStyle name="เครื่องหมายจุลภาค 2 35" xfId="1133"/>
    <cellStyle name="เครื่องหมายจุลภาค 2 36" xfId="1134"/>
    <cellStyle name="เครื่องหมายจุลภาค 2 37" xfId="1135"/>
    <cellStyle name="เครื่องหมายจุลภาค 2 38" xfId="1136"/>
    <cellStyle name="เครื่องหมายจุลภาค 2 39" xfId="1137"/>
    <cellStyle name="เครื่องหมายจุลภาค 2 4" xfId="1138"/>
    <cellStyle name="เครื่องหมายจุลภาค 2 4 2" xfId="1139"/>
    <cellStyle name="เครื่องหมายจุลภาค 2 4 3" xfId="1140"/>
    <cellStyle name="เครื่องหมายจุลภาค 2 4 4" xfId="1141"/>
    <cellStyle name="เครื่องหมายจุลภาค 2 4 5" xfId="1142"/>
    <cellStyle name="เครื่องหมายจุลภาค 2 4 6" xfId="1143"/>
    <cellStyle name="เครื่องหมายจุลภาค 2 4 7" xfId="1144"/>
    <cellStyle name="เครื่องหมายจุลภาค 2 4 8" xfId="1145"/>
    <cellStyle name="เครื่องหมายจุลภาค 2 40" xfId="1146"/>
    <cellStyle name="เครื่องหมายจุลภาค 2 41" xfId="1147"/>
    <cellStyle name="เครื่องหมายจุลภาค 2 42" xfId="1148"/>
    <cellStyle name="เครื่องหมายจุลภาค 2 43" xfId="1149"/>
    <cellStyle name="เครื่องหมายจุลภาค 2 44" xfId="1150"/>
    <cellStyle name="เครื่องหมายจุลภาค 2 45" xfId="1151"/>
    <cellStyle name="เครื่องหมายจุลภาค 2 46" xfId="1152"/>
    <cellStyle name="เครื่องหมายจุลภาค 2 47" xfId="1153"/>
    <cellStyle name="เครื่องหมายจุลภาค 2 48" xfId="1154"/>
    <cellStyle name="เครื่องหมายจุลภาค 2 49" xfId="1155"/>
    <cellStyle name="เครื่องหมายจุลภาค 2 5" xfId="1156"/>
    <cellStyle name="เครื่องหมายจุลภาค 2 5 2" xfId="1157"/>
    <cellStyle name="เครื่องหมายจุลภาค 2 5 3" xfId="1158"/>
    <cellStyle name="เครื่องหมายจุลภาค 2 5 4" xfId="1159"/>
    <cellStyle name="เครื่องหมายจุลภาค 2 5 5" xfId="1160"/>
    <cellStyle name="เครื่องหมายจุลภาค 2 5 6" xfId="1161"/>
    <cellStyle name="เครื่องหมายจุลภาค 2 5 7" xfId="1162"/>
    <cellStyle name="เครื่องหมายจุลภาค 2 5 8" xfId="1163"/>
    <cellStyle name="เครื่องหมายจุลภาค 2 50" xfId="1164"/>
    <cellStyle name="เครื่องหมายจุลภาค 2 51" xfId="1165"/>
    <cellStyle name="เครื่องหมายจุลภาค 2 52" xfId="1166"/>
    <cellStyle name="เครื่องหมายจุลภาค 2 53" xfId="1167"/>
    <cellStyle name="เครื่องหมายจุลภาค 2 54" xfId="1168"/>
    <cellStyle name="เครื่องหมายจุลภาค 2 55" xfId="1169"/>
    <cellStyle name="เครื่องหมายจุลภาค 2 56" xfId="1170"/>
    <cellStyle name="เครื่องหมายจุลภาค 2 57" xfId="1171"/>
    <cellStyle name="เครื่องหมายจุลภาค 2 58" xfId="1172"/>
    <cellStyle name="เครื่องหมายจุลภาค 2 59" xfId="1173"/>
    <cellStyle name="เครื่องหมายจุลภาค 2 6" xfId="1174"/>
    <cellStyle name="เครื่องหมายจุลภาค 2 60" xfId="1175"/>
    <cellStyle name="เครื่องหมายจุลภาค 2 61" xfId="1176"/>
    <cellStyle name="เครื่องหมายจุลภาค 2 62" xfId="1177"/>
    <cellStyle name="เครื่องหมายจุลภาค 2 63" xfId="1178"/>
    <cellStyle name="เครื่องหมายจุลภาค 2 64" xfId="1179"/>
    <cellStyle name="เครื่องหมายจุลภาค 2 65" xfId="1180"/>
    <cellStyle name="เครื่องหมายจุลภาค 2 66" xfId="1181"/>
    <cellStyle name="เครื่องหมายจุลภาค 2 67" xfId="1182"/>
    <cellStyle name="เครื่องหมายจุลภาค 2 68" xfId="1183"/>
    <cellStyle name="เครื่องหมายจุลภาค 2 69" xfId="1184"/>
    <cellStyle name="เครื่องหมายจุลภาค 2 7" xfId="1185"/>
    <cellStyle name="เครื่องหมายจุลภาค 2 70" xfId="1186"/>
    <cellStyle name="เครื่องหมายจุลภาค 2 71" xfId="1187"/>
    <cellStyle name="เครื่องหมายจุลภาค 2 72" xfId="1188"/>
    <cellStyle name="เครื่องหมายจุลภาค 2 73" xfId="1189"/>
    <cellStyle name="เครื่องหมายจุลภาค 2 74" xfId="1190"/>
    <cellStyle name="เครื่องหมายจุลภาค 2 75" xfId="1191"/>
    <cellStyle name="เครื่องหมายจุลภาค 2 76" xfId="1192"/>
    <cellStyle name="เครื่องหมายจุลภาค 2 77" xfId="1193"/>
    <cellStyle name="เครื่องหมายจุลภาค 2 78" xfId="1194"/>
    <cellStyle name="เครื่องหมายจุลภาค 2 79" xfId="1195"/>
    <cellStyle name="เครื่องหมายจุลภาค 2 8" xfId="1196"/>
    <cellStyle name="เครื่องหมายจุลภาค 2 80" xfId="1197"/>
    <cellStyle name="เครื่องหมายจุลภาค 2 81" xfId="1198"/>
    <cellStyle name="เครื่องหมายจุลภาค 2 82" xfId="1199"/>
    <cellStyle name="เครื่องหมายจุลภาค 2 83" xfId="1200"/>
    <cellStyle name="เครื่องหมายจุลภาค 2 84" xfId="1201"/>
    <cellStyle name="เครื่องหมายจุลภาค 2 85" xfId="1202"/>
    <cellStyle name="เครื่องหมายจุลภาค 2 86" xfId="1203"/>
    <cellStyle name="เครื่องหมายจุลภาค 2 87" xfId="1204"/>
    <cellStyle name="เครื่องหมายจุลภาค 2 88" xfId="1205"/>
    <cellStyle name="เครื่องหมายจุลภาค 2 89" xfId="1206"/>
    <cellStyle name="เครื่องหมายจุลภาค 2 9" xfId="1207"/>
    <cellStyle name="เครื่องหมายจุลภาค 2 90" xfId="1208"/>
    <cellStyle name="เครื่องหมายจุลภาค 2 91" xfId="1209"/>
    <cellStyle name="เครื่องหมายจุลภาค 2 92" xfId="1210"/>
    <cellStyle name="เครื่องหมายจุลภาค 2 93" xfId="1211"/>
    <cellStyle name="เครื่องหมายจุลภาค 2 94" xfId="1212"/>
    <cellStyle name="เครื่องหมายจุลภาค 2 95" xfId="1213"/>
    <cellStyle name="เครื่องหมายจุลภาค 2 96" xfId="1214"/>
    <cellStyle name="เครื่องหมายจุลภาค 2 97" xfId="1215"/>
    <cellStyle name="เครื่องหมายจุลภาค 2 98" xfId="1216"/>
    <cellStyle name="เครื่องหมายจุลภาค 2 99" xfId="1217"/>
    <cellStyle name="เครื่องหมายจุลภาค 3" xfId="1218"/>
    <cellStyle name="เครื่องหมายจุลภาค 4" xfId="1219"/>
    <cellStyle name="เครื่องหมายจุลภาค 5" xfId="1220"/>
    <cellStyle name="Comma" xfId="1221"/>
    <cellStyle name="Comma [0]" xfId="1222"/>
    <cellStyle name="ชื่อเรื่อง" xfId="1223"/>
    <cellStyle name="ชื่อเรื่อง 2" xfId="1224"/>
    <cellStyle name="ชื่อเรื่อง 3" xfId="1225"/>
    <cellStyle name="ชื่อเรื่อง 4" xfId="1226"/>
    <cellStyle name="เซลล์ตรวจสอบ" xfId="1227"/>
    <cellStyle name="เซลล์ตรวจสอบ 2" xfId="1228"/>
    <cellStyle name="เซลล์ตรวจสอบ 3" xfId="1229"/>
    <cellStyle name="เซลล์ตรวจสอบ 4" xfId="1230"/>
    <cellStyle name="เซลล์ที่มีการเชื่อมโยง 2" xfId="1231"/>
    <cellStyle name="เซลล์ที่มีการเชื่อมโยง 3" xfId="1232"/>
    <cellStyle name="เซลล์ที่มีการเชื่อมโยง 4" xfId="1233"/>
    <cellStyle name="เซลล์ที่มีลิงก์" xfId="1234"/>
    <cellStyle name="ดี" xfId="1235"/>
    <cellStyle name="ดี 2" xfId="1236"/>
    <cellStyle name="ดี 3" xfId="1237"/>
    <cellStyle name="ดี 4" xfId="1238"/>
    <cellStyle name="ปกติ 10" xfId="1239"/>
    <cellStyle name="ปกติ 100" xfId="1240"/>
    <cellStyle name="ปกติ 101" xfId="1241"/>
    <cellStyle name="ปกติ 102" xfId="1242"/>
    <cellStyle name="ปกติ 103" xfId="1243"/>
    <cellStyle name="ปกติ 104" xfId="1244"/>
    <cellStyle name="ปกติ 105" xfId="1245"/>
    <cellStyle name="ปกติ 106" xfId="1246"/>
    <cellStyle name="ปกติ 107" xfId="1247"/>
    <cellStyle name="ปกติ 108" xfId="1248"/>
    <cellStyle name="ปกติ 109" xfId="1249"/>
    <cellStyle name="ปกติ 11" xfId="1250"/>
    <cellStyle name="ปกติ 110" xfId="1251"/>
    <cellStyle name="ปกติ 111" xfId="1252"/>
    <cellStyle name="ปกติ 112" xfId="1253"/>
    <cellStyle name="ปกติ 113" xfId="1254"/>
    <cellStyle name="ปกติ 114" xfId="1255"/>
    <cellStyle name="ปกติ 115" xfId="1256"/>
    <cellStyle name="ปกติ 116" xfId="1257"/>
    <cellStyle name="ปกติ 117" xfId="1258"/>
    <cellStyle name="ปกติ 118" xfId="1259"/>
    <cellStyle name="ปกติ 119" xfId="1260"/>
    <cellStyle name="ปกติ 12" xfId="1261"/>
    <cellStyle name="ปกติ 120" xfId="1262"/>
    <cellStyle name="ปกติ 121" xfId="1263"/>
    <cellStyle name="ปกติ 122" xfId="1264"/>
    <cellStyle name="ปกติ 123" xfId="1265"/>
    <cellStyle name="ปกติ 124" xfId="1266"/>
    <cellStyle name="ปกติ 125" xfId="1267"/>
    <cellStyle name="ปกติ 126" xfId="1268"/>
    <cellStyle name="ปกติ 127" xfId="1269"/>
    <cellStyle name="ปกติ 128" xfId="1270"/>
    <cellStyle name="ปกติ 129" xfId="1271"/>
    <cellStyle name="ปกติ 13" xfId="1272"/>
    <cellStyle name="ปกติ 130" xfId="1273"/>
    <cellStyle name="ปกติ 131" xfId="1274"/>
    <cellStyle name="ปกติ 132" xfId="1275"/>
    <cellStyle name="ปกติ 133" xfId="1276"/>
    <cellStyle name="ปกติ 134" xfId="1277"/>
    <cellStyle name="ปกติ 135" xfId="1278"/>
    <cellStyle name="ปกติ 136" xfId="1279"/>
    <cellStyle name="ปกติ 137" xfId="1280"/>
    <cellStyle name="ปกติ 138" xfId="1281"/>
    <cellStyle name="ปกติ 139" xfId="1282"/>
    <cellStyle name="ปกติ 14" xfId="1283"/>
    <cellStyle name="ปกติ 140" xfId="1284"/>
    <cellStyle name="ปกติ 141" xfId="1285"/>
    <cellStyle name="ปกติ 142" xfId="1286"/>
    <cellStyle name="ปกติ 143" xfId="1287"/>
    <cellStyle name="ปกติ 144" xfId="1288"/>
    <cellStyle name="ปกติ 145" xfId="1289"/>
    <cellStyle name="ปกติ 146" xfId="1290"/>
    <cellStyle name="ปกติ 147" xfId="1291"/>
    <cellStyle name="ปกติ 148" xfId="1292"/>
    <cellStyle name="ปกติ 149" xfId="1293"/>
    <cellStyle name="ปกติ 15" xfId="1294"/>
    <cellStyle name="ปกติ 150" xfId="1295"/>
    <cellStyle name="ปกติ 151" xfId="1296"/>
    <cellStyle name="ปกติ 152" xfId="1297"/>
    <cellStyle name="ปกติ 153" xfId="1298"/>
    <cellStyle name="ปกติ 154" xfId="1299"/>
    <cellStyle name="ปกติ 155" xfId="1300"/>
    <cellStyle name="ปกติ 156" xfId="1301"/>
    <cellStyle name="ปกติ 157" xfId="1302"/>
    <cellStyle name="ปกติ 158" xfId="1303"/>
    <cellStyle name="ปกติ 159" xfId="1304"/>
    <cellStyle name="ปกติ 16" xfId="1305"/>
    <cellStyle name="ปกติ 160" xfId="1306"/>
    <cellStyle name="ปกติ 161" xfId="1307"/>
    <cellStyle name="ปกติ 162" xfId="1308"/>
    <cellStyle name="ปกติ 163" xfId="1309"/>
    <cellStyle name="ปกติ 164" xfId="1310"/>
    <cellStyle name="ปกติ 165" xfId="1311"/>
    <cellStyle name="ปกติ 166" xfId="1312"/>
    <cellStyle name="ปกติ 167" xfId="1313"/>
    <cellStyle name="ปกติ 168" xfId="1314"/>
    <cellStyle name="ปกติ 169" xfId="1315"/>
    <cellStyle name="ปกติ 17" xfId="1316"/>
    <cellStyle name="ปกติ 170" xfId="1317"/>
    <cellStyle name="ปกติ 171" xfId="1318"/>
    <cellStyle name="ปกติ 172" xfId="1319"/>
    <cellStyle name="ปกติ 173" xfId="1320"/>
    <cellStyle name="ปกติ 174" xfId="1321"/>
    <cellStyle name="ปกติ 175" xfId="1322"/>
    <cellStyle name="ปกติ 176" xfId="1323"/>
    <cellStyle name="ปกติ 177" xfId="1324"/>
    <cellStyle name="ปกติ 178" xfId="1325"/>
    <cellStyle name="ปกติ 179" xfId="1326"/>
    <cellStyle name="ปกติ 18" xfId="1327"/>
    <cellStyle name="ปกติ 180" xfId="1328"/>
    <cellStyle name="ปกติ 181" xfId="1329"/>
    <cellStyle name="ปกติ 182" xfId="1330"/>
    <cellStyle name="ปกติ 183" xfId="1331"/>
    <cellStyle name="ปกติ 184" xfId="1332"/>
    <cellStyle name="ปกติ 185" xfId="1333"/>
    <cellStyle name="ปกติ 186" xfId="1334"/>
    <cellStyle name="ปกติ 187" xfId="1335"/>
    <cellStyle name="ปกติ 188" xfId="1336"/>
    <cellStyle name="ปกติ 189" xfId="1337"/>
    <cellStyle name="ปกติ 19" xfId="1338"/>
    <cellStyle name="ปกติ 190" xfId="1339"/>
    <cellStyle name="ปกติ 191" xfId="1340"/>
    <cellStyle name="ปกติ 192" xfId="1341"/>
    <cellStyle name="ปกติ 193" xfId="1342"/>
    <cellStyle name="ปกติ 194" xfId="1343"/>
    <cellStyle name="ปกติ 195" xfId="1344"/>
    <cellStyle name="ปกติ 196" xfId="1345"/>
    <cellStyle name="ปกติ 197" xfId="1346"/>
    <cellStyle name="ปกติ 198" xfId="1347"/>
    <cellStyle name="ปกติ 199" xfId="1348"/>
    <cellStyle name="ปกติ 2" xfId="1349"/>
    <cellStyle name="ปกติ 2 10" xfId="1350"/>
    <cellStyle name="ปกติ 2 100" xfId="1351"/>
    <cellStyle name="ปกติ 2 101" xfId="1352"/>
    <cellStyle name="ปกติ 2 102" xfId="1353"/>
    <cellStyle name="ปกติ 2 103" xfId="1354"/>
    <cellStyle name="ปกติ 2 104" xfId="1355"/>
    <cellStyle name="ปกติ 2 105" xfId="1356"/>
    <cellStyle name="ปกติ 2 106" xfId="1357"/>
    <cellStyle name="ปกติ 2 107" xfId="1358"/>
    <cellStyle name="ปกติ 2 108" xfId="1359"/>
    <cellStyle name="ปกติ 2 109" xfId="1360"/>
    <cellStyle name="ปกติ 2 11" xfId="1361"/>
    <cellStyle name="ปกติ 2 110" xfId="1362"/>
    <cellStyle name="ปกติ 2 111" xfId="1363"/>
    <cellStyle name="ปกติ 2 112" xfId="1364"/>
    <cellStyle name="ปกติ 2 113" xfId="1365"/>
    <cellStyle name="ปกติ 2 114" xfId="1366"/>
    <cellStyle name="ปกติ 2 115" xfId="1367"/>
    <cellStyle name="ปกติ 2 116" xfId="1368"/>
    <cellStyle name="ปกติ 2 117" xfId="1369"/>
    <cellStyle name="ปกติ 2 118" xfId="1370"/>
    <cellStyle name="ปกติ 2 119" xfId="1371"/>
    <cellStyle name="ปกติ 2 12" xfId="1372"/>
    <cellStyle name="ปกติ 2 120" xfId="1373"/>
    <cellStyle name="ปกติ 2 121" xfId="1374"/>
    <cellStyle name="ปกติ 2 122" xfId="1375"/>
    <cellStyle name="ปกติ 2 123" xfId="1376"/>
    <cellStyle name="ปกติ 2 124" xfId="1377"/>
    <cellStyle name="ปกติ 2 125" xfId="1378"/>
    <cellStyle name="ปกติ 2 126" xfId="1379"/>
    <cellStyle name="ปกติ 2 127" xfId="1380"/>
    <cellStyle name="ปกติ 2 128" xfId="1381"/>
    <cellStyle name="ปกติ 2 129" xfId="1382"/>
    <cellStyle name="ปกติ 2 13" xfId="1383"/>
    <cellStyle name="ปกติ 2 130" xfId="1384"/>
    <cellStyle name="ปกติ 2 131" xfId="1385"/>
    <cellStyle name="ปกติ 2 132" xfId="1386"/>
    <cellStyle name="ปกติ 2 133" xfId="1387"/>
    <cellStyle name="ปกติ 2 134" xfId="1388"/>
    <cellStyle name="ปกติ 2 135" xfId="1389"/>
    <cellStyle name="ปกติ 2 136" xfId="1390"/>
    <cellStyle name="ปกติ 2 137" xfId="1391"/>
    <cellStyle name="ปกติ 2 138" xfId="1392"/>
    <cellStyle name="ปกติ 2 139" xfId="1393"/>
    <cellStyle name="ปกติ 2 14" xfId="1394"/>
    <cellStyle name="ปกติ 2 140" xfId="1395"/>
    <cellStyle name="ปกติ 2 141" xfId="1396"/>
    <cellStyle name="ปกติ 2 142" xfId="1397"/>
    <cellStyle name="ปกติ 2 143" xfId="1398"/>
    <cellStyle name="ปกติ 2 144" xfId="1399"/>
    <cellStyle name="ปกติ 2 145" xfId="1400"/>
    <cellStyle name="ปกติ 2 146" xfId="1401"/>
    <cellStyle name="ปกติ 2 147" xfId="1402"/>
    <cellStyle name="ปกติ 2 148" xfId="1403"/>
    <cellStyle name="ปกติ 2 149" xfId="1404"/>
    <cellStyle name="ปกติ 2 15" xfId="1405"/>
    <cellStyle name="ปกติ 2 150" xfId="1406"/>
    <cellStyle name="ปกติ 2 151" xfId="1407"/>
    <cellStyle name="ปกติ 2 152" xfId="1408"/>
    <cellStyle name="ปกติ 2 153" xfId="1409"/>
    <cellStyle name="ปกติ 2 154" xfId="1410"/>
    <cellStyle name="ปกติ 2 155" xfId="1411"/>
    <cellStyle name="ปกติ 2 156" xfId="1412"/>
    <cellStyle name="ปกติ 2 157" xfId="1413"/>
    <cellStyle name="ปกติ 2 158" xfId="1414"/>
    <cellStyle name="ปกติ 2 159" xfId="1415"/>
    <cellStyle name="ปกติ 2 16" xfId="1416"/>
    <cellStyle name="ปกติ 2 160" xfId="1417"/>
    <cellStyle name="ปกติ 2 161" xfId="1418"/>
    <cellStyle name="ปกติ 2 162" xfId="1419"/>
    <cellStyle name="ปกติ 2 163" xfId="1420"/>
    <cellStyle name="ปกติ 2 164" xfId="1421"/>
    <cellStyle name="ปกติ 2 165" xfId="1422"/>
    <cellStyle name="ปกติ 2 166" xfId="1423"/>
    <cellStyle name="ปกติ 2 167" xfId="1424"/>
    <cellStyle name="ปกติ 2 168" xfId="1425"/>
    <cellStyle name="ปกติ 2 169" xfId="1426"/>
    <cellStyle name="ปกติ 2 17" xfId="1427"/>
    <cellStyle name="ปกติ 2 170" xfId="1428"/>
    <cellStyle name="ปกติ 2 171" xfId="1429"/>
    <cellStyle name="ปกติ 2 172" xfId="1430"/>
    <cellStyle name="ปกติ 2 173" xfId="1431"/>
    <cellStyle name="ปกติ 2 174" xfId="1432"/>
    <cellStyle name="ปกติ 2 175" xfId="1433"/>
    <cellStyle name="ปกติ 2 176" xfId="1434"/>
    <cellStyle name="ปกติ 2 177" xfId="1435"/>
    <cellStyle name="ปกติ 2 178" xfId="1436"/>
    <cellStyle name="ปกติ 2 179" xfId="1437"/>
    <cellStyle name="ปกติ 2 18" xfId="1438"/>
    <cellStyle name="ปกติ 2 180" xfId="1439"/>
    <cellStyle name="ปกติ 2 181" xfId="1440"/>
    <cellStyle name="ปกติ 2 182" xfId="1441"/>
    <cellStyle name="ปกติ 2 183" xfId="1442"/>
    <cellStyle name="ปกติ 2 184" xfId="1443"/>
    <cellStyle name="ปกติ 2 185" xfId="1444"/>
    <cellStyle name="ปกติ 2 186" xfId="1445"/>
    <cellStyle name="ปกติ 2 187" xfId="1446"/>
    <cellStyle name="ปกติ 2 188" xfId="1447"/>
    <cellStyle name="ปกติ 2 189" xfId="1448"/>
    <cellStyle name="ปกติ 2 19" xfId="1449"/>
    <cellStyle name="ปกติ 2 190" xfId="1450"/>
    <cellStyle name="ปกติ 2 191" xfId="1451"/>
    <cellStyle name="ปกติ 2 192" xfId="1452"/>
    <cellStyle name="ปกติ 2 193" xfId="1453"/>
    <cellStyle name="ปกติ 2 194" xfId="1454"/>
    <cellStyle name="ปกติ 2 195" xfId="1455"/>
    <cellStyle name="ปกติ 2 196" xfId="1456"/>
    <cellStyle name="ปกติ 2 197" xfId="1457"/>
    <cellStyle name="ปกติ 2 198" xfId="1458"/>
    <cellStyle name="ปกติ 2 199" xfId="1459"/>
    <cellStyle name="ปกติ 2 2" xfId="1460"/>
    <cellStyle name="ปกติ 2 2 2" xfId="1461"/>
    <cellStyle name="ปกติ 2 20" xfId="1462"/>
    <cellStyle name="ปกติ 2 200" xfId="1463"/>
    <cellStyle name="ปกติ 2 201" xfId="1464"/>
    <cellStyle name="ปกติ 2 202" xfId="1465"/>
    <cellStyle name="ปกติ 2 203" xfId="1466"/>
    <cellStyle name="ปกติ 2 204" xfId="1467"/>
    <cellStyle name="ปกติ 2 205" xfId="1468"/>
    <cellStyle name="ปกติ 2 206" xfId="1469"/>
    <cellStyle name="ปกติ 2 207" xfId="1470"/>
    <cellStyle name="ปกติ 2 208" xfId="1471"/>
    <cellStyle name="ปกติ 2 209" xfId="1472"/>
    <cellStyle name="ปกติ 2 21" xfId="1473"/>
    <cellStyle name="ปกติ 2 210" xfId="1474"/>
    <cellStyle name="ปกติ 2 211" xfId="1475"/>
    <cellStyle name="ปกติ 2 212" xfId="1476"/>
    <cellStyle name="ปกติ 2 213" xfId="1477"/>
    <cellStyle name="ปกติ 2 214" xfId="1478"/>
    <cellStyle name="ปกติ 2 215" xfId="1479"/>
    <cellStyle name="ปกติ 2 216" xfId="1480"/>
    <cellStyle name="ปกติ 2 217" xfId="1481"/>
    <cellStyle name="ปกติ 2 218" xfId="1482"/>
    <cellStyle name="ปกติ 2 219" xfId="1483"/>
    <cellStyle name="ปกติ 2 22" xfId="1484"/>
    <cellStyle name="ปกติ 2 220" xfId="1485"/>
    <cellStyle name="ปกติ 2 221" xfId="1486"/>
    <cellStyle name="ปกติ 2 222" xfId="1487"/>
    <cellStyle name="ปกติ 2 223" xfId="1488"/>
    <cellStyle name="ปกติ 2 224" xfId="1489"/>
    <cellStyle name="ปกติ 2 225" xfId="1490"/>
    <cellStyle name="ปกติ 2 226" xfId="1491"/>
    <cellStyle name="ปกติ 2 227" xfId="1492"/>
    <cellStyle name="ปกติ 2 228" xfId="1493"/>
    <cellStyle name="ปกติ 2 229" xfId="1494"/>
    <cellStyle name="ปกติ 2 23" xfId="1495"/>
    <cellStyle name="ปกติ 2 230" xfId="1496"/>
    <cellStyle name="ปกติ 2 231" xfId="1497"/>
    <cellStyle name="ปกติ 2 232" xfId="1498"/>
    <cellStyle name="ปกติ 2 233" xfId="1499"/>
    <cellStyle name="ปกติ 2 234" xfId="1500"/>
    <cellStyle name="ปกติ 2 235" xfId="1501"/>
    <cellStyle name="ปกติ 2 236" xfId="1502"/>
    <cellStyle name="ปกติ 2 237" xfId="1503"/>
    <cellStyle name="ปกติ 2 238" xfId="1504"/>
    <cellStyle name="ปกติ 2 239" xfId="1505"/>
    <cellStyle name="ปกติ 2 24" xfId="1506"/>
    <cellStyle name="ปกติ 2 240" xfId="1507"/>
    <cellStyle name="ปกติ 2 241" xfId="1508"/>
    <cellStyle name="ปกติ 2 242" xfId="1509"/>
    <cellStyle name="ปกติ 2 243" xfId="1510"/>
    <cellStyle name="ปกติ 2 244" xfId="1511"/>
    <cellStyle name="ปกติ 2 245" xfId="1512"/>
    <cellStyle name="ปกติ 2 25" xfId="1513"/>
    <cellStyle name="ปกติ 2 26" xfId="1514"/>
    <cellStyle name="ปกติ 2 27" xfId="1515"/>
    <cellStyle name="ปกติ 2 28" xfId="1516"/>
    <cellStyle name="ปกติ 2 29" xfId="1517"/>
    <cellStyle name="ปกติ 2 3" xfId="1518"/>
    <cellStyle name="ปกติ 2 3 2" xfId="1519"/>
    <cellStyle name="ปกติ 2 3 3" xfId="1520"/>
    <cellStyle name="ปกติ 2 3 4" xfId="1521"/>
    <cellStyle name="ปกติ 2 3 5" xfId="1522"/>
    <cellStyle name="ปกติ 2 3 6" xfId="1523"/>
    <cellStyle name="ปกติ 2 3 7" xfId="1524"/>
    <cellStyle name="ปกติ 2 3 8" xfId="1525"/>
    <cellStyle name="ปกติ 2 30" xfId="1526"/>
    <cellStyle name="ปกติ 2 31" xfId="1527"/>
    <cellStyle name="ปกติ 2 32" xfId="1528"/>
    <cellStyle name="ปกติ 2 33" xfId="1529"/>
    <cellStyle name="ปกติ 2 34" xfId="1530"/>
    <cellStyle name="ปกติ 2 35" xfId="1531"/>
    <cellStyle name="ปกติ 2 36" xfId="1532"/>
    <cellStyle name="ปกติ 2 37" xfId="1533"/>
    <cellStyle name="ปกติ 2 38" xfId="1534"/>
    <cellStyle name="ปกติ 2 39" xfId="1535"/>
    <cellStyle name="ปกติ 2 4" xfId="1536"/>
    <cellStyle name="ปกติ 2 4 2" xfId="1537"/>
    <cellStyle name="ปกติ 2 4 3" xfId="1538"/>
    <cellStyle name="ปกติ 2 4 4" xfId="1539"/>
    <cellStyle name="ปกติ 2 4 5" xfId="1540"/>
    <cellStyle name="ปกติ 2 4 6" xfId="1541"/>
    <cellStyle name="ปกติ 2 4 7" xfId="1542"/>
    <cellStyle name="ปกติ 2 4 8" xfId="1543"/>
    <cellStyle name="ปกติ 2 40" xfId="1544"/>
    <cellStyle name="ปกติ 2 41" xfId="1545"/>
    <cellStyle name="ปกติ 2 42" xfId="1546"/>
    <cellStyle name="ปกติ 2 43" xfId="1547"/>
    <cellStyle name="ปกติ 2 44" xfId="1548"/>
    <cellStyle name="ปกติ 2 45" xfId="1549"/>
    <cellStyle name="ปกติ 2 46" xfId="1550"/>
    <cellStyle name="ปกติ 2 47" xfId="1551"/>
    <cellStyle name="ปกติ 2 48" xfId="1552"/>
    <cellStyle name="ปกติ 2 49" xfId="1553"/>
    <cellStyle name="ปกติ 2 5" xfId="1554"/>
    <cellStyle name="ปกติ 2 50" xfId="1555"/>
    <cellStyle name="ปกติ 2 51" xfId="1556"/>
    <cellStyle name="ปกติ 2 52" xfId="1557"/>
    <cellStyle name="ปกติ 2 53" xfId="1558"/>
    <cellStyle name="ปกติ 2 54" xfId="1559"/>
    <cellStyle name="ปกติ 2 55" xfId="1560"/>
    <cellStyle name="ปกติ 2 56" xfId="1561"/>
    <cellStyle name="ปกติ 2 57" xfId="1562"/>
    <cellStyle name="ปกติ 2 58" xfId="1563"/>
    <cellStyle name="ปกติ 2 59" xfId="1564"/>
    <cellStyle name="ปกติ 2 6" xfId="1565"/>
    <cellStyle name="ปกติ 2 60" xfId="1566"/>
    <cellStyle name="ปกติ 2 61" xfId="1567"/>
    <cellStyle name="ปกติ 2 62" xfId="1568"/>
    <cellStyle name="ปกติ 2 63" xfId="1569"/>
    <cellStyle name="ปกติ 2 64" xfId="1570"/>
    <cellStyle name="ปกติ 2 65" xfId="1571"/>
    <cellStyle name="ปกติ 2 66" xfId="1572"/>
    <cellStyle name="ปกติ 2 67" xfId="1573"/>
    <cellStyle name="ปกติ 2 68" xfId="1574"/>
    <cellStyle name="ปกติ 2 69" xfId="1575"/>
    <cellStyle name="ปกติ 2 7" xfId="1576"/>
    <cellStyle name="ปกติ 2 70" xfId="1577"/>
    <cellStyle name="ปกติ 2 71" xfId="1578"/>
    <cellStyle name="ปกติ 2 72" xfId="1579"/>
    <cellStyle name="ปกติ 2 73" xfId="1580"/>
    <cellStyle name="ปกติ 2 74" xfId="1581"/>
    <cellStyle name="ปกติ 2 75" xfId="1582"/>
    <cellStyle name="ปกติ 2 76" xfId="1583"/>
    <cellStyle name="ปกติ 2 77" xfId="1584"/>
    <cellStyle name="ปกติ 2 78" xfId="1585"/>
    <cellStyle name="ปกติ 2 79" xfId="1586"/>
    <cellStyle name="ปกติ 2 8" xfId="1587"/>
    <cellStyle name="ปกติ 2 80" xfId="1588"/>
    <cellStyle name="ปกติ 2 81" xfId="1589"/>
    <cellStyle name="ปกติ 2 82" xfId="1590"/>
    <cellStyle name="ปกติ 2 83" xfId="1591"/>
    <cellStyle name="ปกติ 2 84" xfId="1592"/>
    <cellStyle name="ปกติ 2 85" xfId="1593"/>
    <cellStyle name="ปกติ 2 86" xfId="1594"/>
    <cellStyle name="ปกติ 2 87" xfId="1595"/>
    <cellStyle name="ปกติ 2 88" xfId="1596"/>
    <cellStyle name="ปกติ 2 89" xfId="1597"/>
    <cellStyle name="ปกติ 2 9" xfId="1598"/>
    <cellStyle name="ปกติ 2 90" xfId="1599"/>
    <cellStyle name="ปกติ 2 91" xfId="1600"/>
    <cellStyle name="ปกติ 2 92" xfId="1601"/>
    <cellStyle name="ปกติ 2 93" xfId="1602"/>
    <cellStyle name="ปกติ 2 94" xfId="1603"/>
    <cellStyle name="ปกติ 2 95" xfId="1604"/>
    <cellStyle name="ปกติ 2 96" xfId="1605"/>
    <cellStyle name="ปกติ 2 97" xfId="1606"/>
    <cellStyle name="ปกติ 2 98" xfId="1607"/>
    <cellStyle name="ปกติ 2 99" xfId="1608"/>
    <cellStyle name="ปกติ 20" xfId="1609"/>
    <cellStyle name="ปกติ 200" xfId="1610"/>
    <cellStyle name="ปกติ 201" xfId="1611"/>
    <cellStyle name="ปกติ 202" xfId="1612"/>
    <cellStyle name="ปกติ 203" xfId="1613"/>
    <cellStyle name="ปกติ 204" xfId="1614"/>
    <cellStyle name="ปกติ 205" xfId="1615"/>
    <cellStyle name="ปกติ 206" xfId="1616"/>
    <cellStyle name="ปกติ 207" xfId="1617"/>
    <cellStyle name="ปกติ 208" xfId="1618"/>
    <cellStyle name="ปกติ 209" xfId="1619"/>
    <cellStyle name="ปกติ 21" xfId="1620"/>
    <cellStyle name="ปกติ 210" xfId="1621"/>
    <cellStyle name="ปกติ 211" xfId="1622"/>
    <cellStyle name="ปกติ 212" xfId="1623"/>
    <cellStyle name="ปกติ 213" xfId="1624"/>
    <cellStyle name="ปกติ 214" xfId="1625"/>
    <cellStyle name="ปกติ 215" xfId="1626"/>
    <cellStyle name="ปกติ 216" xfId="1627"/>
    <cellStyle name="ปกติ 217" xfId="1628"/>
    <cellStyle name="ปกติ 218" xfId="1629"/>
    <cellStyle name="ปกติ 219" xfId="1630"/>
    <cellStyle name="ปกติ 22" xfId="1631"/>
    <cellStyle name="ปกติ 220" xfId="1632"/>
    <cellStyle name="ปกติ 221" xfId="1633"/>
    <cellStyle name="ปกติ 222" xfId="1634"/>
    <cellStyle name="ปกติ 223" xfId="1635"/>
    <cellStyle name="ปกติ 224" xfId="1636"/>
    <cellStyle name="ปกติ 225" xfId="1637"/>
    <cellStyle name="ปกติ 226" xfId="1638"/>
    <cellStyle name="ปกติ 227" xfId="1639"/>
    <cellStyle name="ปกติ 228" xfId="1640"/>
    <cellStyle name="ปกติ 229" xfId="1641"/>
    <cellStyle name="ปกติ 23" xfId="1642"/>
    <cellStyle name="ปกติ 230" xfId="1643"/>
    <cellStyle name="ปกติ 231" xfId="1644"/>
    <cellStyle name="ปกติ 232" xfId="1645"/>
    <cellStyle name="ปกติ 233" xfId="1646"/>
    <cellStyle name="ปกติ 234" xfId="1647"/>
    <cellStyle name="ปกติ 235" xfId="1648"/>
    <cellStyle name="ปกติ 236" xfId="1649"/>
    <cellStyle name="ปกติ 237" xfId="1650"/>
    <cellStyle name="ปกติ 24" xfId="1651"/>
    <cellStyle name="ปกติ 25" xfId="1652"/>
    <cellStyle name="ปกติ 26" xfId="1653"/>
    <cellStyle name="ปกติ 27" xfId="1654"/>
    <cellStyle name="ปกติ 28" xfId="1655"/>
    <cellStyle name="ปกติ 29" xfId="1656"/>
    <cellStyle name="ปกติ 3" xfId="1657"/>
    <cellStyle name="ปกติ 3 10" xfId="1658"/>
    <cellStyle name="ปกติ 3 2" xfId="1659"/>
    <cellStyle name="ปกติ 3 3" xfId="1660"/>
    <cellStyle name="ปกติ 3 4" xfId="1661"/>
    <cellStyle name="ปกติ 3 5" xfId="1662"/>
    <cellStyle name="ปกติ 3 6" xfId="1663"/>
    <cellStyle name="ปกติ 3 7" xfId="1664"/>
    <cellStyle name="ปกติ 3 8" xfId="1665"/>
    <cellStyle name="ปกติ 3 9" xfId="1666"/>
    <cellStyle name="ปกติ 30" xfId="1667"/>
    <cellStyle name="ปกติ 31" xfId="1668"/>
    <cellStyle name="ปกติ 32" xfId="1669"/>
    <cellStyle name="ปกติ 33" xfId="1670"/>
    <cellStyle name="ปกติ 34" xfId="1671"/>
    <cellStyle name="ปกติ 35" xfId="1672"/>
    <cellStyle name="ปกติ 36" xfId="1673"/>
    <cellStyle name="ปกติ 37" xfId="1674"/>
    <cellStyle name="ปกติ 38" xfId="1675"/>
    <cellStyle name="ปกติ 39" xfId="1676"/>
    <cellStyle name="ปกติ 4" xfId="1677"/>
    <cellStyle name="ปกติ 4 10" xfId="1678"/>
    <cellStyle name="ปกติ 4 11" xfId="1679"/>
    <cellStyle name="ปกติ 4 12" xfId="1680"/>
    <cellStyle name="ปกติ 4 13" xfId="1681"/>
    <cellStyle name="ปกติ 4 14" xfId="1682"/>
    <cellStyle name="ปกติ 4 15" xfId="1683"/>
    <cellStyle name="ปกติ 4 16" xfId="1684"/>
    <cellStyle name="ปกติ 4 17" xfId="1685"/>
    <cellStyle name="ปกติ 4 2" xfId="1686"/>
    <cellStyle name="ปกติ 4 3" xfId="1687"/>
    <cellStyle name="ปกติ 4 4" xfId="1688"/>
    <cellStyle name="ปกติ 4 5" xfId="1689"/>
    <cellStyle name="ปกติ 4 6" xfId="1690"/>
    <cellStyle name="ปกติ 4 7" xfId="1691"/>
    <cellStyle name="ปกติ 4 8" xfId="1692"/>
    <cellStyle name="ปกติ 4 9" xfId="1693"/>
    <cellStyle name="ปกติ 40" xfId="1694"/>
    <cellStyle name="ปกติ 41" xfId="1695"/>
    <cellStyle name="ปกติ 42" xfId="1696"/>
    <cellStyle name="ปกติ 43" xfId="1697"/>
    <cellStyle name="ปกติ 44" xfId="1698"/>
    <cellStyle name="ปกติ 45" xfId="1699"/>
    <cellStyle name="ปกติ 46" xfId="1700"/>
    <cellStyle name="ปกติ 47" xfId="1701"/>
    <cellStyle name="ปกติ 48" xfId="1702"/>
    <cellStyle name="ปกติ 49" xfId="1703"/>
    <cellStyle name="ปกติ 5" xfId="1704"/>
    <cellStyle name="ปกติ 5 2" xfId="1705"/>
    <cellStyle name="ปกติ 50" xfId="1706"/>
    <cellStyle name="ปกติ 51" xfId="1707"/>
    <cellStyle name="ปกติ 52" xfId="1708"/>
    <cellStyle name="ปกติ 53" xfId="1709"/>
    <cellStyle name="ปกติ 54" xfId="1710"/>
    <cellStyle name="ปกติ 55" xfId="1711"/>
    <cellStyle name="ปกติ 56" xfId="1712"/>
    <cellStyle name="ปกติ 57" xfId="1713"/>
    <cellStyle name="ปกติ 58" xfId="1714"/>
    <cellStyle name="ปกติ 59" xfId="1715"/>
    <cellStyle name="ปกติ 6" xfId="1716"/>
    <cellStyle name="ปกติ 60" xfId="1717"/>
    <cellStyle name="ปกติ 61" xfId="1718"/>
    <cellStyle name="ปกติ 62" xfId="1719"/>
    <cellStyle name="ปกติ 63" xfId="1720"/>
    <cellStyle name="ปกติ 64" xfId="1721"/>
    <cellStyle name="ปกติ 65" xfId="1722"/>
    <cellStyle name="ปกติ 66" xfId="1723"/>
    <cellStyle name="ปกติ 67" xfId="1724"/>
    <cellStyle name="ปกติ 68" xfId="1725"/>
    <cellStyle name="ปกติ 69" xfId="1726"/>
    <cellStyle name="ปกติ 7" xfId="1727"/>
    <cellStyle name="ปกติ 70" xfId="1728"/>
    <cellStyle name="ปกติ 71" xfId="1729"/>
    <cellStyle name="ปกติ 72" xfId="1730"/>
    <cellStyle name="ปกติ 73" xfId="1731"/>
    <cellStyle name="ปกติ 74" xfId="1732"/>
    <cellStyle name="ปกติ 75" xfId="1733"/>
    <cellStyle name="ปกติ 76" xfId="1734"/>
    <cellStyle name="ปกติ 77" xfId="1735"/>
    <cellStyle name="ปกติ 78" xfId="1736"/>
    <cellStyle name="ปกติ 79" xfId="1737"/>
    <cellStyle name="ปกติ 8" xfId="1738"/>
    <cellStyle name="ปกติ 80" xfId="1739"/>
    <cellStyle name="ปกติ 81" xfId="1740"/>
    <cellStyle name="ปกติ 82" xfId="1741"/>
    <cellStyle name="ปกติ 83" xfId="1742"/>
    <cellStyle name="ปกติ 84" xfId="1743"/>
    <cellStyle name="ปกติ 85" xfId="1744"/>
    <cellStyle name="ปกติ 86" xfId="1745"/>
    <cellStyle name="ปกติ 87" xfId="1746"/>
    <cellStyle name="ปกติ 88" xfId="1747"/>
    <cellStyle name="ปกติ 89" xfId="1748"/>
    <cellStyle name="ปกติ 9" xfId="1749"/>
    <cellStyle name="ปกติ 90" xfId="1750"/>
    <cellStyle name="ปกติ 91" xfId="1751"/>
    <cellStyle name="ปกติ 92" xfId="1752"/>
    <cellStyle name="ปกติ 93" xfId="1753"/>
    <cellStyle name="ปกติ 94" xfId="1754"/>
    <cellStyle name="ปกติ 95" xfId="1755"/>
    <cellStyle name="ปกติ 96" xfId="1756"/>
    <cellStyle name="ปกติ 97" xfId="1757"/>
    <cellStyle name="ปกติ 98" xfId="1758"/>
    <cellStyle name="ปกติ 99" xfId="1759"/>
    <cellStyle name="ป้อนค่า" xfId="1760"/>
    <cellStyle name="ป้อนค่า 2" xfId="1761"/>
    <cellStyle name="ป้อนค่า 3" xfId="1762"/>
    <cellStyle name="ป้อนค่า 4" xfId="1763"/>
    <cellStyle name="ปานกลาง" xfId="1764"/>
    <cellStyle name="ปานกลาง 2" xfId="1765"/>
    <cellStyle name="ปานกลาง 3" xfId="1766"/>
    <cellStyle name="ปานกลาง 4" xfId="1767"/>
    <cellStyle name="Percent" xfId="1768"/>
    <cellStyle name="ผลรวม" xfId="1769"/>
    <cellStyle name="ผลรวม 2" xfId="1770"/>
    <cellStyle name="ผลรวม 3" xfId="1771"/>
    <cellStyle name="ผลรวม 4" xfId="1772"/>
    <cellStyle name="แย่" xfId="1773"/>
    <cellStyle name="แย่ 2" xfId="1774"/>
    <cellStyle name="แย่ 3" xfId="1775"/>
    <cellStyle name="แย่ 4" xfId="1776"/>
    <cellStyle name="Currency" xfId="1777"/>
    <cellStyle name="Currency [0]" xfId="1778"/>
    <cellStyle name="ส่วนที่ถูกเน้น1" xfId="1779"/>
    <cellStyle name="ส่วนที่ถูกเน้น1 2" xfId="1780"/>
    <cellStyle name="ส่วนที่ถูกเน้น1 3" xfId="1781"/>
    <cellStyle name="ส่วนที่ถูกเน้น1 4" xfId="1782"/>
    <cellStyle name="ส่วนที่ถูกเน้น2" xfId="1783"/>
    <cellStyle name="ส่วนที่ถูกเน้น2 2" xfId="1784"/>
    <cellStyle name="ส่วนที่ถูกเน้น2 3" xfId="1785"/>
    <cellStyle name="ส่วนที่ถูกเน้น2 4" xfId="1786"/>
    <cellStyle name="ส่วนที่ถูกเน้น3" xfId="1787"/>
    <cellStyle name="ส่วนที่ถูกเน้น3 2" xfId="1788"/>
    <cellStyle name="ส่วนที่ถูกเน้น3 3" xfId="1789"/>
    <cellStyle name="ส่วนที่ถูกเน้น3 4" xfId="1790"/>
    <cellStyle name="ส่วนที่ถูกเน้น4" xfId="1791"/>
    <cellStyle name="ส่วนที่ถูกเน้น4 2" xfId="1792"/>
    <cellStyle name="ส่วนที่ถูกเน้น4 3" xfId="1793"/>
    <cellStyle name="ส่วนที่ถูกเน้น4 4" xfId="1794"/>
    <cellStyle name="ส่วนที่ถูกเน้น5" xfId="1795"/>
    <cellStyle name="ส่วนที่ถูกเน้น5 2" xfId="1796"/>
    <cellStyle name="ส่วนที่ถูกเน้น5 3" xfId="1797"/>
    <cellStyle name="ส่วนที่ถูกเน้น5 4" xfId="1798"/>
    <cellStyle name="ส่วนที่ถูกเน้น6" xfId="1799"/>
    <cellStyle name="ส่วนที่ถูกเน้น6 2" xfId="1800"/>
    <cellStyle name="ส่วนที่ถูกเน้น6 3" xfId="1801"/>
    <cellStyle name="ส่วนที่ถูกเน้น6 4" xfId="1802"/>
    <cellStyle name="แสดงผล" xfId="1803"/>
    <cellStyle name="แสดงผล 2" xfId="1804"/>
    <cellStyle name="แสดงผล 3" xfId="1805"/>
    <cellStyle name="แสดงผล 4" xfId="1806"/>
    <cellStyle name="หมายเหตุ" xfId="1807"/>
    <cellStyle name="หมายเหตุ 2" xfId="1808"/>
    <cellStyle name="หมายเหตุ 3" xfId="1809"/>
    <cellStyle name="หมายเหตุ 4" xfId="1810"/>
    <cellStyle name="หัวเรื่อง 1" xfId="1811"/>
    <cellStyle name="หัวเรื่อง 1 2" xfId="1812"/>
    <cellStyle name="หัวเรื่อง 1 3" xfId="1813"/>
    <cellStyle name="หัวเรื่อง 1 4" xfId="1814"/>
    <cellStyle name="หัวเรื่อง 2" xfId="1815"/>
    <cellStyle name="หัวเรื่อง 2 2" xfId="1816"/>
    <cellStyle name="หัวเรื่อง 2 3" xfId="1817"/>
    <cellStyle name="หัวเรื่อง 2 4" xfId="1818"/>
    <cellStyle name="หัวเรื่อง 3" xfId="1819"/>
    <cellStyle name="หัวเรื่อง 3 2" xfId="1820"/>
    <cellStyle name="หัวเรื่อง 3 3" xfId="1821"/>
    <cellStyle name="หัวเรื่อง 3 4" xfId="1822"/>
    <cellStyle name="หัวเรื่อง 4" xfId="1823"/>
    <cellStyle name="หัวเรื่อง 4 2" xfId="1824"/>
    <cellStyle name="หัวเรื่อง 4 3" xfId="1825"/>
    <cellStyle name="หัวเรื่อง 4 4" xfId="182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67</xdr:row>
      <xdr:rowOff>133350</xdr:rowOff>
    </xdr:from>
    <xdr:to>
      <xdr:col>22</xdr:col>
      <xdr:colOff>161925</xdr:colOff>
      <xdr:row>68</xdr:row>
      <xdr:rowOff>114300</xdr:rowOff>
    </xdr:to>
    <xdr:sp>
      <xdr:nvSpPr>
        <xdr:cNvPr id="1" name="วงเล็บปีกกาขวา 2"/>
        <xdr:cNvSpPr>
          <a:spLocks/>
        </xdr:cNvSpPr>
      </xdr:nvSpPr>
      <xdr:spPr>
        <a:xfrm>
          <a:off x="19078575" y="16602075"/>
          <a:ext cx="133350" cy="361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28575</xdr:colOff>
      <xdr:row>67</xdr:row>
      <xdr:rowOff>133350</xdr:rowOff>
    </xdr:from>
    <xdr:to>
      <xdr:col>22</xdr:col>
      <xdr:colOff>161925</xdr:colOff>
      <xdr:row>68</xdr:row>
      <xdr:rowOff>114300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19078575" y="16602075"/>
          <a:ext cx="133350" cy="361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28575</xdr:colOff>
      <xdr:row>67</xdr:row>
      <xdr:rowOff>133350</xdr:rowOff>
    </xdr:from>
    <xdr:to>
      <xdr:col>22</xdr:col>
      <xdr:colOff>161925</xdr:colOff>
      <xdr:row>68</xdr:row>
      <xdr:rowOff>114300</xdr:rowOff>
    </xdr:to>
    <xdr:sp>
      <xdr:nvSpPr>
        <xdr:cNvPr id="3" name="วงเล็บปีกกาขวา 2"/>
        <xdr:cNvSpPr>
          <a:spLocks/>
        </xdr:cNvSpPr>
      </xdr:nvSpPr>
      <xdr:spPr>
        <a:xfrm>
          <a:off x="19078575" y="16602075"/>
          <a:ext cx="133350" cy="361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28575</xdr:colOff>
      <xdr:row>67</xdr:row>
      <xdr:rowOff>133350</xdr:rowOff>
    </xdr:from>
    <xdr:to>
      <xdr:col>22</xdr:col>
      <xdr:colOff>161925</xdr:colOff>
      <xdr:row>68</xdr:row>
      <xdr:rowOff>114300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19078575" y="16602075"/>
          <a:ext cx="133350" cy="361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0"/>
  <sheetViews>
    <sheetView tabSelected="1" zoomScale="70" zoomScaleNormal="70" zoomScaleSheetLayoutView="86" workbookViewId="0" topLeftCell="O1">
      <pane ySplit="7" topLeftCell="A314" activePane="bottomLeft" state="frozen"/>
      <selection pane="topLeft" activeCell="A1" sqref="A1"/>
      <selection pane="bottomLeft" activeCell="P321" sqref="P321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19" customWidth="1"/>
    <col min="4" max="5" width="10.125" style="420" customWidth="1"/>
    <col min="6" max="6" width="9.625" style="420" customWidth="1"/>
    <col min="7" max="7" width="10.25390625" style="420" customWidth="1"/>
    <col min="8" max="8" width="6.50390625" style="421" customWidth="1"/>
    <col min="9" max="9" width="8.875" style="417" customWidth="1"/>
    <col min="10" max="10" width="6.875" style="421" customWidth="1"/>
    <col min="11" max="11" width="10.125" style="13" bestFit="1" customWidth="1"/>
    <col min="12" max="12" width="9.375" style="422" customWidth="1"/>
    <col min="13" max="13" width="12.50390625" style="417" bestFit="1" customWidth="1"/>
    <col min="14" max="14" width="7.625" style="417" customWidth="1"/>
    <col min="15" max="15" width="6.50390625" style="13" bestFit="1" customWidth="1"/>
    <col min="16" max="16" width="9.00390625" style="417" bestFit="1" customWidth="1"/>
    <col min="17" max="17" width="8.375" style="417" customWidth="1"/>
    <col min="18" max="18" width="14.00390625" style="417" bestFit="1" customWidth="1"/>
    <col min="19" max="19" width="8.125" style="13" customWidth="1"/>
    <col min="20" max="20" width="7.50390625" style="13" customWidth="1"/>
    <col min="21" max="21" width="8.75390625" style="417" customWidth="1"/>
    <col min="22" max="22" width="8.875" style="417" customWidth="1"/>
    <col min="23" max="23" width="12.50390625" style="417" bestFit="1" customWidth="1"/>
    <col min="24" max="24" width="11.75390625" style="418" customWidth="1"/>
    <col min="25" max="25" width="22.875" style="417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506" t="s">
        <v>406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35" t="s">
        <v>0</v>
      </c>
      <c r="B3" s="538" t="s">
        <v>1</v>
      </c>
      <c r="C3" s="535" t="s">
        <v>2</v>
      </c>
      <c r="D3" s="541" t="s">
        <v>3</v>
      </c>
      <c r="E3" s="542"/>
      <c r="F3" s="545" t="s">
        <v>4</v>
      </c>
      <c r="G3" s="546"/>
      <c r="H3" s="549" t="s">
        <v>5</v>
      </c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1"/>
      <c r="X3" s="12" t="s">
        <v>6</v>
      </c>
      <c r="Y3" s="561" t="s">
        <v>7</v>
      </c>
      <c r="Z3" s="552" t="s">
        <v>8</v>
      </c>
    </row>
    <row r="4" spans="1:44" ht="27" customHeight="1">
      <c r="A4" s="536"/>
      <c r="B4" s="539"/>
      <c r="C4" s="536"/>
      <c r="D4" s="543"/>
      <c r="E4" s="544"/>
      <c r="F4" s="547"/>
      <c r="G4" s="548"/>
      <c r="H4" s="555" t="s">
        <v>9</v>
      </c>
      <c r="I4" s="556"/>
      <c r="J4" s="556"/>
      <c r="K4" s="556"/>
      <c r="L4" s="556"/>
      <c r="M4" s="557"/>
      <c r="N4" s="513" t="s">
        <v>10</v>
      </c>
      <c r="O4" s="514"/>
      <c r="P4" s="514"/>
      <c r="Q4" s="514"/>
      <c r="R4" s="515"/>
      <c r="S4" s="525" t="s">
        <v>401</v>
      </c>
      <c r="T4" s="526"/>
      <c r="U4" s="526"/>
      <c r="V4" s="526"/>
      <c r="W4" s="527"/>
      <c r="X4" s="14" t="s">
        <v>11</v>
      </c>
      <c r="Y4" s="562"/>
      <c r="Z4" s="553"/>
      <c r="AQ4" s="558" t="s">
        <v>12</v>
      </c>
      <c r="AR4" s="558"/>
    </row>
    <row r="5" spans="1:44" ht="31.5">
      <c r="A5" s="536"/>
      <c r="B5" s="539"/>
      <c r="C5" s="536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2"/>
      <c r="Z5" s="553"/>
      <c r="AI5" s="11" t="s">
        <v>229</v>
      </c>
      <c r="AQ5" s="24" t="s">
        <v>21</v>
      </c>
      <c r="AR5" s="25" t="s">
        <v>15</v>
      </c>
    </row>
    <row r="6" spans="1:44" ht="20.25" customHeight="1">
      <c r="A6" s="537"/>
      <c r="B6" s="540"/>
      <c r="C6" s="537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402</v>
      </c>
      <c r="N6" s="32" t="s">
        <v>403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403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3"/>
      <c r="Z6" s="554"/>
      <c r="AQ6" s="36" t="s">
        <v>403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M8+M118</f>
        <v>5.281615935509445</v>
      </c>
      <c r="N7" s="42"/>
      <c r="O7" s="46">
        <f>O8+O118</f>
        <v>452</v>
      </c>
      <c r="P7" s="46">
        <f>P8+P118</f>
        <v>90</v>
      </c>
      <c r="Q7" s="47"/>
      <c r="R7" s="45">
        <f>R8+R118</f>
        <v>22.730799999999995</v>
      </c>
      <c r="S7" s="42"/>
      <c r="T7" s="46">
        <f>T8+T118</f>
        <v>242</v>
      </c>
      <c r="U7" s="46">
        <f>U8+U118</f>
        <v>7</v>
      </c>
      <c r="V7" s="42"/>
      <c r="W7" s="45">
        <f>W8+W118</f>
        <v>0.70024</v>
      </c>
      <c r="X7" s="45">
        <f>X8+X118</f>
        <v>26.577955999999997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+M9+M51+M62+M80</f>
        <v>3.427956</v>
      </c>
      <c r="N8" s="59"/>
      <c r="O8" s="58">
        <f>+O9+O51+O62+O80+O97</f>
        <v>263</v>
      </c>
      <c r="P8" s="63">
        <f>+P9+P51+P62+P80</f>
        <v>72</v>
      </c>
      <c r="Q8" s="64"/>
      <c r="R8" s="62">
        <f>+R9+R51+R62+R80</f>
        <v>19.504799999999996</v>
      </c>
      <c r="S8" s="59"/>
      <c r="T8" s="58">
        <f>+T9+T51+T62+T80+T97</f>
        <v>126</v>
      </c>
      <c r="U8" s="60">
        <f>+U9+U51+U62+U80</f>
        <v>0</v>
      </c>
      <c r="V8" s="64"/>
      <c r="W8" s="62">
        <f>+W9+W51+W62+W80</f>
        <v>0</v>
      </c>
      <c r="X8" s="62">
        <f>+X9+X51+X62+X80</f>
        <v>22.932755999999998</v>
      </c>
      <c r="Y8" s="65"/>
      <c r="Z8" s="66"/>
      <c r="AA8" s="50">
        <f>+M8+R8+W8</f>
        <v>22.932755999999998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11" t="s">
        <v>38</v>
      </c>
      <c r="B9" s="512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1.048896</v>
      </c>
      <c r="N9" s="73"/>
      <c r="O9" s="77">
        <f>O11+O12+O16+O17+O41+O42+O47+O49+O50+O33</f>
        <v>54</v>
      </c>
      <c r="P9" s="76">
        <f>SUM(P10:P50)</f>
        <v>17</v>
      </c>
      <c r="Q9" s="78"/>
      <c r="R9" s="76">
        <f>SUM(R10:R50)</f>
        <v>3.4703999999999997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4.519296</v>
      </c>
      <c r="Y9" s="81"/>
      <c r="Z9" s="82"/>
      <c r="AA9" s="83">
        <f>+M9+R9+W9</f>
        <v>4.519296</v>
      </c>
      <c r="AD9" s="559" t="s">
        <v>39</v>
      </c>
      <c r="AE9" s="560"/>
      <c r="AF9" s="560"/>
      <c r="AG9" s="560"/>
      <c r="AH9" s="84"/>
      <c r="AQ9" s="85"/>
      <c r="AR9" s="86"/>
    </row>
    <row r="10" spans="1:44" s="102" customFormat="1" ht="30">
      <c r="A10" s="87" t="s">
        <v>40</v>
      </c>
      <c r="B10" s="88">
        <v>1</v>
      </c>
      <c r="C10" s="87" t="s">
        <v>41</v>
      </c>
      <c r="D10" s="89">
        <v>1.55</v>
      </c>
      <c r="E10" s="89">
        <v>1.4</v>
      </c>
      <c r="F10" s="89">
        <v>1.57</v>
      </c>
      <c r="G10" s="89">
        <v>1.48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5"/>
      <c r="Q10" s="490"/>
      <c r="R10" s="490"/>
      <c r="S10" s="96">
        <v>3</v>
      </c>
      <c r="T10" s="97">
        <v>4</v>
      </c>
      <c r="U10" s="107"/>
      <c r="V10" s="107"/>
      <c r="W10" s="107"/>
      <c r="X10" s="99">
        <f>M10+R10+W10</f>
        <v>0</v>
      </c>
      <c r="Y10" s="100"/>
      <c r="Z10" s="101" t="s">
        <v>42</v>
      </c>
      <c r="AD10" s="532" t="s">
        <v>43</v>
      </c>
      <c r="AE10" s="533"/>
      <c r="AF10" s="533"/>
      <c r="AG10" s="103"/>
      <c r="AH10" s="104"/>
      <c r="AQ10" s="105">
        <v>3</v>
      </c>
      <c r="AR10" s="106">
        <v>3</v>
      </c>
    </row>
    <row r="11" spans="1:44" s="102" customFormat="1" ht="30.75" thickBot="1">
      <c r="A11" s="87" t="s">
        <v>40</v>
      </c>
      <c r="B11" s="88">
        <v>2</v>
      </c>
      <c r="C11" s="87" t="s">
        <v>47</v>
      </c>
      <c r="D11" s="89">
        <v>1.37</v>
      </c>
      <c r="E11" s="89">
        <v>1.02</v>
      </c>
      <c r="F11" s="89">
        <v>1.44</v>
      </c>
      <c r="G11" s="89">
        <v>1.03</v>
      </c>
      <c r="H11" s="90"/>
      <c r="I11" s="91"/>
      <c r="J11" s="107"/>
      <c r="K11" s="107"/>
      <c r="L11" s="107"/>
      <c r="M11" s="107"/>
      <c r="N11" s="93">
        <v>1</v>
      </c>
      <c r="O11" s="94">
        <v>2</v>
      </c>
      <c r="P11" s="175"/>
      <c r="Q11" s="92"/>
      <c r="R11" s="92"/>
      <c r="S11" s="96"/>
      <c r="T11" s="97"/>
      <c r="U11" s="107"/>
      <c r="V11" s="107"/>
      <c r="W11" s="107"/>
      <c r="X11" s="99">
        <f>M11+R11+W11</f>
        <v>0</v>
      </c>
      <c r="Y11" s="100"/>
      <c r="Z11" s="101"/>
      <c r="AD11" s="528" t="s">
        <v>45</v>
      </c>
      <c r="AE11" s="529"/>
      <c r="AF11" s="529"/>
      <c r="AG11" s="103">
        <f>_xlfn.COUNTIFS(A120:A215,"เจ้าเจ็ดบางยี่หน",B120:B215,"&gt;0")</f>
        <v>6</v>
      </c>
      <c r="AH11" s="104" t="s">
        <v>46</v>
      </c>
      <c r="AI11" s="113"/>
      <c r="AQ11" s="105"/>
      <c r="AR11" s="106"/>
    </row>
    <row r="12" spans="1:44" s="102" customFormat="1" ht="30.75" thickBot="1">
      <c r="A12" s="87" t="s">
        <v>40</v>
      </c>
      <c r="B12" s="88">
        <v>3</v>
      </c>
      <c r="C12" s="87" t="s">
        <v>44</v>
      </c>
      <c r="D12" s="89">
        <v>1.28</v>
      </c>
      <c r="E12" s="89">
        <v>1.02</v>
      </c>
      <c r="F12" s="89">
        <v>1.32</v>
      </c>
      <c r="G12" s="89">
        <v>1.03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107"/>
      <c r="Q12" s="107"/>
      <c r="R12" s="92"/>
      <c r="S12" s="96"/>
      <c r="T12" s="97"/>
      <c r="U12" s="107"/>
      <c r="V12" s="107"/>
      <c r="W12" s="107"/>
      <c r="X12" s="99">
        <f>M12+R12+W12</f>
        <v>0</v>
      </c>
      <c r="Y12" s="100"/>
      <c r="Z12" s="101"/>
      <c r="AB12" s="114"/>
      <c r="AC12" s="114"/>
      <c r="AD12" s="111" t="s">
        <v>48</v>
      </c>
      <c r="AE12" s="112"/>
      <c r="AF12" s="112"/>
      <c r="AG12" s="115">
        <f>_xlfn.SUMIFS(O120:O215,A120:A215,"เจ้าเจ็ดบางยี่หน",O120:O215,"&gt;0")</f>
        <v>12</v>
      </c>
      <c r="AH12" s="103" t="s">
        <v>30</v>
      </c>
      <c r="AI12" s="116">
        <f>_xlfn.COUNTIFS(A111:A216,"เจ้าเจ็ดบางยี่หน",O111:O216,"&gt;0")</f>
        <v>2</v>
      </c>
      <c r="AJ12" s="117" t="s">
        <v>46</v>
      </c>
      <c r="AQ12" s="105">
        <v>3</v>
      </c>
      <c r="AR12" s="106">
        <v>7</v>
      </c>
    </row>
    <row r="13" spans="1:44" s="102" customFormat="1" ht="30">
      <c r="A13" s="87" t="s">
        <v>40</v>
      </c>
      <c r="B13" s="88">
        <v>4</v>
      </c>
      <c r="C13" s="87" t="s">
        <v>49</v>
      </c>
      <c r="D13" s="89">
        <v>1.9</v>
      </c>
      <c r="E13" s="89">
        <v>1.9</v>
      </c>
      <c r="F13" s="89">
        <v>1.9</v>
      </c>
      <c r="G13" s="89">
        <v>1.91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5"/>
      <c r="Q13" s="490"/>
      <c r="R13" s="95"/>
      <c r="S13" s="96"/>
      <c r="T13" s="97"/>
      <c r="U13" s="107"/>
      <c r="V13" s="107"/>
      <c r="W13" s="107"/>
      <c r="X13" s="99">
        <f>M13+R13+W13</f>
        <v>0</v>
      </c>
      <c r="Y13" s="100"/>
      <c r="Z13" s="101"/>
      <c r="AD13" s="111" t="s">
        <v>50</v>
      </c>
      <c r="AE13" s="112"/>
      <c r="AF13" s="112"/>
      <c r="AG13" s="115">
        <f>_xlfn.SUMIFS(T120:T215,A120:A215,"เจ้าเจ็ดบางยี่หน",S120:S215,"&gt;0")</f>
        <v>14</v>
      </c>
      <c r="AH13" s="104" t="s">
        <v>30</v>
      </c>
      <c r="AI13" s="118"/>
      <c r="AJ13" s="118"/>
      <c r="AK13" s="118"/>
      <c r="AL13" s="118"/>
      <c r="AM13" s="118"/>
      <c r="AQ13" s="105">
        <v>2</v>
      </c>
      <c r="AR13" s="106">
        <v>4</v>
      </c>
    </row>
    <row r="14" spans="1:44" s="102" customFormat="1" ht="23.2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5"/>
      <c r="Q14" s="490"/>
      <c r="R14" s="95"/>
      <c r="S14" s="96"/>
      <c r="T14" s="97"/>
      <c r="U14" s="107"/>
      <c r="V14" s="107"/>
      <c r="W14" s="107"/>
      <c r="X14" s="99"/>
      <c r="Y14" s="100"/>
      <c r="Z14" s="101"/>
      <c r="AD14" s="119" t="s">
        <v>52</v>
      </c>
      <c r="AE14" s="120"/>
      <c r="AF14" s="120"/>
      <c r="AG14" s="121">
        <f>SUMIF(A120:A215,"เจ้าเจ็ดบางยี่หน",X120:X215)</f>
        <v>1.0368</v>
      </c>
      <c r="AH14" s="122" t="s">
        <v>53</v>
      </c>
      <c r="AI14" s="114"/>
      <c r="AQ14" s="123">
        <v>1</v>
      </c>
      <c r="AR14" s="124">
        <v>4</v>
      </c>
    </row>
    <row r="15" spans="1:44" s="102" customFormat="1" ht="30" customHeight="1">
      <c r="A15" s="87" t="s">
        <v>55</v>
      </c>
      <c r="B15" s="88">
        <v>1</v>
      </c>
      <c r="C15" s="87" t="s">
        <v>399</v>
      </c>
      <c r="D15" s="89">
        <v>1.25</v>
      </c>
      <c r="E15" s="89">
        <v>0.85</v>
      </c>
      <c r="F15" s="89">
        <v>1.15</v>
      </c>
      <c r="G15" s="89">
        <v>0.82</v>
      </c>
      <c r="H15" s="90">
        <v>0.75</v>
      </c>
      <c r="I15" s="91"/>
      <c r="J15" s="107"/>
      <c r="K15" s="92"/>
      <c r="L15" s="92"/>
      <c r="M15" s="107"/>
      <c r="N15" s="93"/>
      <c r="O15" s="94"/>
      <c r="P15" s="92">
        <v>5</v>
      </c>
      <c r="Q15" s="107">
        <v>18</v>
      </c>
      <c r="R15" s="92">
        <f>1944000/1000000</f>
        <v>1.944</v>
      </c>
      <c r="S15" s="96"/>
      <c r="T15" s="97"/>
      <c r="U15" s="107"/>
      <c r="V15" s="107"/>
      <c r="W15" s="107"/>
      <c r="X15" s="99">
        <f>M15+R15+W15</f>
        <v>1.944</v>
      </c>
      <c r="Y15" s="100" t="s">
        <v>407</v>
      </c>
      <c r="Z15" s="101"/>
      <c r="AD15" s="125"/>
      <c r="AE15" s="103"/>
      <c r="AF15" s="103"/>
      <c r="AG15" s="103"/>
      <c r="AH15" s="104"/>
      <c r="AQ15" s="126"/>
      <c r="AR15" s="127"/>
    </row>
    <row r="16" spans="1:44" s="102" customFormat="1" ht="30">
      <c r="A16" s="87" t="s">
        <v>55</v>
      </c>
      <c r="B16" s="88">
        <v>2</v>
      </c>
      <c r="C16" s="87" t="s">
        <v>56</v>
      </c>
      <c r="D16" s="89">
        <v>0.85</v>
      </c>
      <c r="E16" s="89">
        <v>1.05</v>
      </c>
      <c r="F16" s="89">
        <v>0.93</v>
      </c>
      <c r="G16" s="89">
        <v>1.03</v>
      </c>
      <c r="H16" s="90">
        <v>0.87</v>
      </c>
      <c r="I16" s="91">
        <v>6</v>
      </c>
      <c r="J16" s="92">
        <v>1</v>
      </c>
      <c r="K16" s="92" t="s">
        <v>133</v>
      </c>
      <c r="L16" s="92">
        <v>24</v>
      </c>
      <c r="M16" s="92">
        <f>60*60*24*12.14/1000000</f>
        <v>1.048896</v>
      </c>
      <c r="N16" s="93">
        <v>6</v>
      </c>
      <c r="O16" s="94">
        <v>12</v>
      </c>
      <c r="P16" s="107">
        <v>4</v>
      </c>
      <c r="Q16" s="107">
        <v>17</v>
      </c>
      <c r="R16" s="107">
        <f>734400/1000000</f>
        <v>0.7344</v>
      </c>
      <c r="S16" s="96"/>
      <c r="T16" s="97"/>
      <c r="U16" s="107"/>
      <c r="V16" s="107"/>
      <c r="W16" s="107"/>
      <c r="X16" s="99">
        <f>M16+R16+W16</f>
        <v>1.783296</v>
      </c>
      <c r="Y16" s="100" t="s">
        <v>407</v>
      </c>
      <c r="Z16" s="101" t="s">
        <v>42</v>
      </c>
      <c r="AB16" s="129">
        <f>G16-F16</f>
        <v>0.09999999999999998</v>
      </c>
      <c r="AC16" s="129">
        <f>G16</f>
        <v>1.03</v>
      </c>
      <c r="AD16" s="532" t="s">
        <v>57</v>
      </c>
      <c r="AE16" s="533"/>
      <c r="AF16" s="533"/>
      <c r="AG16" s="103"/>
      <c r="AH16" s="104"/>
      <c r="AQ16" s="126"/>
      <c r="AR16" s="127"/>
    </row>
    <row r="17" spans="1:44" s="102" customFormat="1" ht="30.75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107"/>
      <c r="M17" s="95"/>
      <c r="N17" s="93">
        <v>3</v>
      </c>
      <c r="O17" s="94">
        <v>12</v>
      </c>
      <c r="P17" s="107"/>
      <c r="Q17" s="107"/>
      <c r="R17" s="107"/>
      <c r="S17" s="96">
        <v>3</v>
      </c>
      <c r="T17" s="97">
        <v>4</v>
      </c>
      <c r="U17" s="92"/>
      <c r="V17" s="107"/>
      <c r="W17" s="107"/>
      <c r="X17" s="99">
        <f>M17+R17+W17</f>
        <v>0</v>
      </c>
      <c r="Y17" s="100"/>
      <c r="Z17" s="101"/>
      <c r="AB17" s="114"/>
      <c r="AC17" s="114"/>
      <c r="AD17" s="528" t="s">
        <v>45</v>
      </c>
      <c r="AE17" s="529"/>
      <c r="AF17" s="529"/>
      <c r="AG17" s="103">
        <f>_xlfn.COUNTIFS(A217:A299,"เจ้าเจ็ดบางยี่หน",B217:B299,"&gt;0")</f>
        <v>8</v>
      </c>
      <c r="AH17" s="104" t="s">
        <v>46</v>
      </c>
      <c r="AI17" s="113"/>
      <c r="AQ17" s="126"/>
      <c r="AR17" s="127"/>
    </row>
    <row r="18" spans="1:44" s="102" customFormat="1" ht="30.75" thickBot="1">
      <c r="A18" s="87" t="s">
        <v>55</v>
      </c>
      <c r="B18" s="88">
        <v>4</v>
      </c>
      <c r="C18" s="87" t="s">
        <v>59</v>
      </c>
      <c r="D18" s="89">
        <v>0.85</v>
      </c>
      <c r="E18" s="89">
        <v>0.24</v>
      </c>
      <c r="F18" s="89">
        <v>0.93</v>
      </c>
      <c r="G18" s="89">
        <v>0.24</v>
      </c>
      <c r="H18" s="90">
        <v>0.87</v>
      </c>
      <c r="I18" s="91"/>
      <c r="J18" s="107"/>
      <c r="K18" s="107"/>
      <c r="L18" s="107"/>
      <c r="M18" s="107"/>
      <c r="N18" s="131"/>
      <c r="O18" s="94"/>
      <c r="P18" s="92"/>
      <c r="Q18" s="107"/>
      <c r="R18" s="107"/>
      <c r="S18" s="96">
        <v>3</v>
      </c>
      <c r="T18" s="97">
        <v>2</v>
      </c>
      <c r="U18" s="107"/>
      <c r="V18" s="107"/>
      <c r="W18" s="107"/>
      <c r="X18" s="99">
        <f aca="true" t="shared" si="0" ref="X18:X50">M18+R18+W18</f>
        <v>0</v>
      </c>
      <c r="Y18" s="100"/>
      <c r="Z18" s="101"/>
      <c r="AB18" s="132"/>
      <c r="AD18" s="111" t="s">
        <v>48</v>
      </c>
      <c r="AE18" s="112"/>
      <c r="AF18" s="112"/>
      <c r="AG18" s="133">
        <f>_xlfn.SUMIFS(O217:O299,A217:A299,"เจ้าเจ็ดบางยี่หน",O217:O299,"&gt;0")</f>
        <v>0</v>
      </c>
      <c r="AH18" s="103" t="s">
        <v>30</v>
      </c>
      <c r="AI18" s="134">
        <f>_xlfn.COUNTIFS(A219:A305,"เจ้าเจ็ดบางยี่หน",O219:O305,"&gt;0")</f>
        <v>0</v>
      </c>
      <c r="AJ18" s="135" t="s">
        <v>46</v>
      </c>
      <c r="AQ18" s="126"/>
      <c r="AR18" s="127"/>
    </row>
    <row r="19" spans="1:44" s="102" customFormat="1" ht="23.25" customHeight="1" hidden="1">
      <c r="A19" s="87" t="s">
        <v>60</v>
      </c>
      <c r="B19" s="136">
        <v>1</v>
      </c>
      <c r="C19" s="87" t="s">
        <v>61</v>
      </c>
      <c r="D19" s="137"/>
      <c r="E19" s="137"/>
      <c r="F19" s="89"/>
      <c r="G19" s="89"/>
      <c r="H19" s="90">
        <v>1</v>
      </c>
      <c r="I19" s="91">
        <v>4</v>
      </c>
      <c r="J19" s="138"/>
      <c r="K19" s="138"/>
      <c r="L19" s="138"/>
      <c r="M19" s="138"/>
      <c r="N19" s="131">
        <v>0.5</v>
      </c>
      <c r="O19" s="94">
        <v>2</v>
      </c>
      <c r="P19" s="92"/>
      <c r="Q19" s="107"/>
      <c r="R19" s="107"/>
      <c r="S19" s="139"/>
      <c r="T19" s="97"/>
      <c r="U19" s="92"/>
      <c r="V19" s="138"/>
      <c r="W19" s="141"/>
      <c r="X19" s="99">
        <f t="shared" si="0"/>
        <v>0</v>
      </c>
      <c r="Y19" s="488"/>
      <c r="Z19" s="101" t="s">
        <v>42</v>
      </c>
      <c r="AD19" s="111" t="s">
        <v>50</v>
      </c>
      <c r="AE19" s="112"/>
      <c r="AF19" s="112"/>
      <c r="AG19" s="115">
        <f>_xlfn.SUMIFS(T217:T299,A217:A299,"เจ้าเจ็ดบางยี่หน",S217:S299,"&gt;0")</f>
        <v>18</v>
      </c>
      <c r="AH19" s="104" t="s">
        <v>30</v>
      </c>
      <c r="AQ19" s="126"/>
      <c r="AR19" s="127"/>
    </row>
    <row r="20" spans="1:44" s="102" customFormat="1" ht="24" customHeight="1" hidden="1" thickBot="1">
      <c r="A20" s="87" t="s">
        <v>60</v>
      </c>
      <c r="B20" s="136">
        <v>2</v>
      </c>
      <c r="C20" s="87" t="s">
        <v>62</v>
      </c>
      <c r="D20" s="137"/>
      <c r="E20" s="137"/>
      <c r="F20" s="89"/>
      <c r="G20" s="89"/>
      <c r="H20" s="90">
        <v>1</v>
      </c>
      <c r="I20" s="91">
        <v>4</v>
      </c>
      <c r="J20" s="138"/>
      <c r="K20" s="138"/>
      <c r="L20" s="138"/>
      <c r="M20" s="138"/>
      <c r="N20" s="131">
        <v>0.5</v>
      </c>
      <c r="O20" s="94">
        <v>2</v>
      </c>
      <c r="P20" s="92"/>
      <c r="Q20" s="107"/>
      <c r="R20" s="107"/>
      <c r="S20" s="139"/>
      <c r="T20" s="97"/>
      <c r="U20" s="92"/>
      <c r="V20" s="138"/>
      <c r="W20" s="141"/>
      <c r="X20" s="99">
        <f t="shared" si="0"/>
        <v>0</v>
      </c>
      <c r="Y20" s="488"/>
      <c r="Z20" s="101" t="s">
        <v>42</v>
      </c>
      <c r="AD20" s="142" t="s">
        <v>52</v>
      </c>
      <c r="AE20" s="143"/>
      <c r="AF20" s="143"/>
      <c r="AG20" s="144">
        <f>SUMIF(A217:A299,"เจ้าเจ็ดบางยี่หน",X217:X299)</f>
        <v>0.57024</v>
      </c>
      <c r="AH20" s="145" t="s">
        <v>53</v>
      </c>
      <c r="AQ20" s="126"/>
      <c r="AR20" s="127"/>
    </row>
    <row r="21" spans="1:44" s="102" customFormat="1" ht="23.25" customHeight="1" hidden="1" thickBot="1">
      <c r="A21" s="87" t="s">
        <v>60</v>
      </c>
      <c r="B21" s="136">
        <v>3</v>
      </c>
      <c r="C21" s="87" t="s">
        <v>63</v>
      </c>
      <c r="D21" s="137"/>
      <c r="E21" s="137"/>
      <c r="F21" s="89"/>
      <c r="G21" s="89"/>
      <c r="H21" s="90">
        <v>1</v>
      </c>
      <c r="I21" s="91">
        <v>4</v>
      </c>
      <c r="J21" s="138"/>
      <c r="K21" s="138"/>
      <c r="L21" s="138"/>
      <c r="M21" s="138"/>
      <c r="N21" s="131">
        <v>3</v>
      </c>
      <c r="O21" s="94">
        <v>2</v>
      </c>
      <c r="P21" s="92"/>
      <c r="Q21" s="107"/>
      <c r="R21" s="107"/>
      <c r="S21" s="139"/>
      <c r="T21" s="97"/>
      <c r="U21" s="92"/>
      <c r="V21" s="138"/>
      <c r="W21" s="141"/>
      <c r="X21" s="99">
        <f t="shared" si="0"/>
        <v>0</v>
      </c>
      <c r="Y21" s="488"/>
      <c r="Z21" s="101" t="s">
        <v>42</v>
      </c>
      <c r="AQ21" s="126"/>
      <c r="AR21" s="127"/>
    </row>
    <row r="22" spans="1:44" s="102" customFormat="1" ht="23.25" customHeight="1" hidden="1">
      <c r="A22" s="87" t="s">
        <v>60</v>
      </c>
      <c r="B22" s="136">
        <v>4</v>
      </c>
      <c r="C22" s="87" t="s">
        <v>64</v>
      </c>
      <c r="D22" s="137"/>
      <c r="E22" s="137"/>
      <c r="F22" s="89"/>
      <c r="G22" s="89"/>
      <c r="H22" s="90">
        <v>1</v>
      </c>
      <c r="I22" s="91">
        <v>2.4</v>
      </c>
      <c r="J22" s="138"/>
      <c r="K22" s="138"/>
      <c r="L22" s="138"/>
      <c r="M22" s="138"/>
      <c r="N22" s="93"/>
      <c r="O22" s="146"/>
      <c r="P22" s="92"/>
      <c r="Q22" s="107"/>
      <c r="R22" s="107"/>
      <c r="S22" s="139"/>
      <c r="T22" s="97"/>
      <c r="U22" s="92"/>
      <c r="V22" s="138"/>
      <c r="W22" s="141"/>
      <c r="X22" s="99">
        <f t="shared" si="0"/>
        <v>0</v>
      </c>
      <c r="Y22" s="488"/>
      <c r="Z22" s="101" t="s">
        <v>42</v>
      </c>
      <c r="AD22" s="530" t="s">
        <v>65</v>
      </c>
      <c r="AE22" s="531"/>
      <c r="AF22" s="531"/>
      <c r="AG22" s="531"/>
      <c r="AH22" s="147"/>
      <c r="AQ22" s="126"/>
      <c r="AR22" s="127"/>
    </row>
    <row r="23" spans="1:44" s="102" customFormat="1" ht="23.25" customHeight="1" hidden="1">
      <c r="A23" s="87" t="s">
        <v>60</v>
      </c>
      <c r="B23" s="136">
        <v>5</v>
      </c>
      <c r="C23" s="87" t="s">
        <v>66</v>
      </c>
      <c r="D23" s="137"/>
      <c r="E23" s="137"/>
      <c r="F23" s="89"/>
      <c r="G23" s="89"/>
      <c r="H23" s="90">
        <v>1</v>
      </c>
      <c r="I23" s="91">
        <v>6</v>
      </c>
      <c r="J23" s="138"/>
      <c r="K23" s="138"/>
      <c r="L23" s="138"/>
      <c r="M23" s="138"/>
      <c r="N23" s="131">
        <v>3</v>
      </c>
      <c r="O23" s="94">
        <v>2</v>
      </c>
      <c r="P23" s="92"/>
      <c r="Q23" s="107"/>
      <c r="R23" s="107"/>
      <c r="S23" s="139"/>
      <c r="T23" s="97"/>
      <c r="U23" s="92"/>
      <c r="V23" s="138"/>
      <c r="W23" s="141"/>
      <c r="X23" s="99">
        <f t="shared" si="0"/>
        <v>0</v>
      </c>
      <c r="Y23" s="488"/>
      <c r="Z23" s="101" t="s">
        <v>42</v>
      </c>
      <c r="AD23" s="532" t="s">
        <v>43</v>
      </c>
      <c r="AE23" s="533"/>
      <c r="AF23" s="533"/>
      <c r="AG23" s="103"/>
      <c r="AH23" s="104"/>
      <c r="AQ23" s="126"/>
      <c r="AR23" s="127"/>
    </row>
    <row r="24" spans="1:44" s="102" customFormat="1" ht="23.25" customHeight="1" hidden="1" thickBot="1">
      <c r="A24" s="87" t="s">
        <v>60</v>
      </c>
      <c r="B24" s="136">
        <v>6</v>
      </c>
      <c r="C24" s="87" t="s">
        <v>67</v>
      </c>
      <c r="D24" s="137"/>
      <c r="E24" s="137"/>
      <c r="F24" s="89"/>
      <c r="G24" s="89"/>
      <c r="H24" s="90">
        <v>1</v>
      </c>
      <c r="I24" s="91">
        <v>3</v>
      </c>
      <c r="J24" s="138"/>
      <c r="K24" s="138"/>
      <c r="L24" s="138"/>
      <c r="M24" s="138"/>
      <c r="N24" s="131">
        <v>0.5</v>
      </c>
      <c r="O24" s="94">
        <v>1</v>
      </c>
      <c r="P24" s="92"/>
      <c r="Q24" s="107"/>
      <c r="R24" s="107"/>
      <c r="S24" s="139"/>
      <c r="T24" s="97"/>
      <c r="U24" s="92"/>
      <c r="V24" s="138"/>
      <c r="W24" s="141"/>
      <c r="X24" s="99">
        <f t="shared" si="0"/>
        <v>0</v>
      </c>
      <c r="Y24" s="488"/>
      <c r="Z24" s="101" t="s">
        <v>42</v>
      </c>
      <c r="AD24" s="528" t="s">
        <v>45</v>
      </c>
      <c r="AE24" s="529"/>
      <c r="AF24" s="529"/>
      <c r="AG24" s="103">
        <f>_xlfn.COUNTIFS(A120:A215,"พระยาบรรลือ",B120:B215,"&gt;0")</f>
        <v>5</v>
      </c>
      <c r="AH24" s="104" t="s">
        <v>46</v>
      </c>
      <c r="AI24" s="113"/>
      <c r="AJ24" s="134"/>
      <c r="AQ24" s="126"/>
      <c r="AR24" s="127"/>
    </row>
    <row r="25" spans="1:44" s="102" customFormat="1" ht="23.25" customHeight="1" hidden="1" thickBot="1">
      <c r="A25" s="87" t="s">
        <v>60</v>
      </c>
      <c r="B25" s="136">
        <v>7</v>
      </c>
      <c r="C25" s="87" t="s">
        <v>68</v>
      </c>
      <c r="D25" s="137"/>
      <c r="E25" s="137"/>
      <c r="F25" s="89"/>
      <c r="G25" s="89"/>
      <c r="H25" s="90">
        <v>1</v>
      </c>
      <c r="I25" s="91">
        <v>3</v>
      </c>
      <c r="J25" s="138"/>
      <c r="K25" s="138"/>
      <c r="L25" s="138"/>
      <c r="M25" s="138"/>
      <c r="N25" s="131">
        <v>0.5</v>
      </c>
      <c r="O25" s="94">
        <v>1</v>
      </c>
      <c r="P25" s="92"/>
      <c r="Q25" s="107"/>
      <c r="R25" s="107"/>
      <c r="S25" s="139"/>
      <c r="T25" s="97"/>
      <c r="U25" s="92"/>
      <c r="V25" s="138"/>
      <c r="W25" s="141"/>
      <c r="X25" s="99">
        <f t="shared" si="0"/>
        <v>0</v>
      </c>
      <c r="Y25" s="488"/>
      <c r="Z25" s="101" t="s">
        <v>42</v>
      </c>
      <c r="AD25" s="111" t="s">
        <v>48</v>
      </c>
      <c r="AE25" s="112"/>
      <c r="AF25" s="112"/>
      <c r="AG25" s="115">
        <f>_xlfn.SUMIFS(O120:O215,A120:A215,"พระยาบรรลือ",O120:O215,"&gt;0")</f>
        <v>17</v>
      </c>
      <c r="AH25" s="103" t="s">
        <v>30</v>
      </c>
      <c r="AI25" s="134">
        <f>_xlfn.COUNTIFS(A111:A216,"พระยาบรรลือ",O111:O216,"&gt;0")</f>
        <v>4</v>
      </c>
      <c r="AJ25" s="148" t="s">
        <v>46</v>
      </c>
      <c r="AQ25" s="126"/>
      <c r="AR25" s="127"/>
    </row>
    <row r="26" spans="1:44" s="102" customFormat="1" ht="23.25" customHeight="1" hidden="1">
      <c r="A26" s="87" t="s">
        <v>60</v>
      </c>
      <c r="B26" s="136">
        <v>8</v>
      </c>
      <c r="C26" s="87" t="s">
        <v>69</v>
      </c>
      <c r="D26" s="137"/>
      <c r="E26" s="137"/>
      <c r="F26" s="89"/>
      <c r="G26" s="89"/>
      <c r="H26" s="90">
        <v>1</v>
      </c>
      <c r="I26" s="91">
        <v>6</v>
      </c>
      <c r="J26" s="138"/>
      <c r="K26" s="138"/>
      <c r="L26" s="138"/>
      <c r="M26" s="138"/>
      <c r="N26" s="131">
        <v>3</v>
      </c>
      <c r="O26" s="94">
        <v>2</v>
      </c>
      <c r="P26" s="92"/>
      <c r="Q26" s="107"/>
      <c r="R26" s="107"/>
      <c r="S26" s="139"/>
      <c r="T26" s="97"/>
      <c r="U26" s="92"/>
      <c r="V26" s="138"/>
      <c r="W26" s="141"/>
      <c r="X26" s="99">
        <f t="shared" si="0"/>
        <v>0</v>
      </c>
      <c r="Y26" s="488"/>
      <c r="Z26" s="101" t="s">
        <v>42</v>
      </c>
      <c r="AD26" s="111" t="s">
        <v>50</v>
      </c>
      <c r="AE26" s="112"/>
      <c r="AF26" s="112"/>
      <c r="AG26" s="115">
        <f>_xlfn.SUMIFS(T120:T215,A120:A215,"พระยาบรรลือ",S120:S215,"&gt;0")</f>
        <v>8</v>
      </c>
      <c r="AH26" s="104" t="s">
        <v>30</v>
      </c>
      <c r="AQ26" s="126"/>
      <c r="AR26" s="127"/>
    </row>
    <row r="27" spans="1:44" s="102" customFormat="1" ht="23.25" customHeight="1" hidden="1">
      <c r="A27" s="87" t="s">
        <v>60</v>
      </c>
      <c r="B27" s="136">
        <v>9</v>
      </c>
      <c r="C27" s="87" t="s">
        <v>70</v>
      </c>
      <c r="D27" s="137"/>
      <c r="E27" s="137"/>
      <c r="F27" s="89"/>
      <c r="G27" s="89"/>
      <c r="H27" s="90">
        <v>1</v>
      </c>
      <c r="I27" s="91">
        <v>4</v>
      </c>
      <c r="J27" s="138"/>
      <c r="K27" s="138"/>
      <c r="L27" s="138"/>
      <c r="M27" s="138"/>
      <c r="N27" s="131">
        <v>0.5</v>
      </c>
      <c r="O27" s="94">
        <v>3</v>
      </c>
      <c r="P27" s="92"/>
      <c r="Q27" s="107"/>
      <c r="R27" s="107"/>
      <c r="S27" s="139"/>
      <c r="T27" s="97"/>
      <c r="U27" s="92"/>
      <c r="V27" s="138"/>
      <c r="W27" s="141"/>
      <c r="X27" s="99">
        <f t="shared" si="0"/>
        <v>0</v>
      </c>
      <c r="Y27" s="488"/>
      <c r="Z27" s="101" t="s">
        <v>42</v>
      </c>
      <c r="AD27" s="119" t="s">
        <v>52</v>
      </c>
      <c r="AE27" s="120"/>
      <c r="AF27" s="120"/>
      <c r="AG27" s="121">
        <f>SUMIF(A120:A215,"พระยาบรรลือ",X120:X215)</f>
        <v>1.0100000000000002</v>
      </c>
      <c r="AH27" s="122" t="s">
        <v>53</v>
      </c>
      <c r="AQ27" s="126"/>
      <c r="AR27" s="127"/>
    </row>
    <row r="28" spans="1:44" s="102" customFormat="1" ht="23.25" customHeight="1" hidden="1">
      <c r="A28" s="87" t="s">
        <v>60</v>
      </c>
      <c r="B28" s="136">
        <v>10</v>
      </c>
      <c r="C28" s="87" t="s">
        <v>71</v>
      </c>
      <c r="D28" s="137"/>
      <c r="E28" s="137"/>
      <c r="F28" s="89"/>
      <c r="G28" s="89"/>
      <c r="H28" s="90">
        <v>1</v>
      </c>
      <c r="I28" s="91">
        <v>4</v>
      </c>
      <c r="J28" s="138"/>
      <c r="K28" s="138"/>
      <c r="L28" s="138"/>
      <c r="M28" s="138"/>
      <c r="N28" s="131">
        <v>0.5</v>
      </c>
      <c r="O28" s="94">
        <v>2</v>
      </c>
      <c r="P28" s="92"/>
      <c r="Q28" s="107"/>
      <c r="R28" s="107"/>
      <c r="S28" s="139"/>
      <c r="T28" s="97"/>
      <c r="U28" s="92"/>
      <c r="V28" s="138"/>
      <c r="W28" s="141"/>
      <c r="X28" s="99">
        <f t="shared" si="0"/>
        <v>0</v>
      </c>
      <c r="Y28" s="488"/>
      <c r="Z28" s="101" t="s">
        <v>42</v>
      </c>
      <c r="AD28" s="125"/>
      <c r="AE28" s="103"/>
      <c r="AF28" s="103"/>
      <c r="AG28" s="103"/>
      <c r="AH28" s="104"/>
      <c r="AQ28" s="126"/>
      <c r="AR28" s="127"/>
    </row>
    <row r="29" spans="1:44" s="102" customFormat="1" ht="23.25" customHeight="1" hidden="1">
      <c r="A29" s="87" t="s">
        <v>60</v>
      </c>
      <c r="B29" s="136">
        <v>11</v>
      </c>
      <c r="C29" s="87" t="s">
        <v>72</v>
      </c>
      <c r="D29" s="137"/>
      <c r="E29" s="137"/>
      <c r="F29" s="89"/>
      <c r="G29" s="89"/>
      <c r="H29" s="90">
        <v>1</v>
      </c>
      <c r="I29" s="91">
        <v>4</v>
      </c>
      <c r="J29" s="138"/>
      <c r="K29" s="138"/>
      <c r="L29" s="138"/>
      <c r="M29" s="138"/>
      <c r="N29" s="131">
        <v>3</v>
      </c>
      <c r="O29" s="94">
        <v>2</v>
      </c>
      <c r="P29" s="92"/>
      <c r="Q29" s="107"/>
      <c r="R29" s="107"/>
      <c r="S29" s="139"/>
      <c r="T29" s="97"/>
      <c r="U29" s="92"/>
      <c r="V29" s="138"/>
      <c r="W29" s="141"/>
      <c r="X29" s="99">
        <f t="shared" si="0"/>
        <v>0</v>
      </c>
      <c r="Y29" s="488"/>
      <c r="Z29" s="101" t="s">
        <v>42</v>
      </c>
      <c r="AD29" s="532" t="s">
        <v>57</v>
      </c>
      <c r="AE29" s="533"/>
      <c r="AF29" s="533"/>
      <c r="AG29" s="103"/>
      <c r="AH29" s="104"/>
      <c r="AQ29" s="126"/>
      <c r="AR29" s="127"/>
    </row>
    <row r="30" spans="1:44" s="102" customFormat="1" ht="23.25" customHeight="1" hidden="1" thickBot="1">
      <c r="A30" s="87" t="s">
        <v>60</v>
      </c>
      <c r="B30" s="136">
        <v>12</v>
      </c>
      <c r="C30" s="87" t="s">
        <v>73</v>
      </c>
      <c r="D30" s="137"/>
      <c r="E30" s="137"/>
      <c r="F30" s="89"/>
      <c r="G30" s="89"/>
      <c r="H30" s="90">
        <v>1</v>
      </c>
      <c r="I30" s="91">
        <v>2.4</v>
      </c>
      <c r="J30" s="138"/>
      <c r="K30" s="138"/>
      <c r="L30" s="138"/>
      <c r="M30" s="138"/>
      <c r="N30" s="131">
        <v>0.5</v>
      </c>
      <c r="O30" s="94">
        <v>1</v>
      </c>
      <c r="P30" s="92"/>
      <c r="Q30" s="107"/>
      <c r="R30" s="107"/>
      <c r="S30" s="139"/>
      <c r="T30" s="97"/>
      <c r="U30" s="92"/>
      <c r="V30" s="138"/>
      <c r="W30" s="141"/>
      <c r="X30" s="99">
        <f t="shared" si="0"/>
        <v>0</v>
      </c>
      <c r="Y30" s="488"/>
      <c r="Z30" s="101" t="s">
        <v>42</v>
      </c>
      <c r="AD30" s="528" t="s">
        <v>45</v>
      </c>
      <c r="AE30" s="529"/>
      <c r="AF30" s="529"/>
      <c r="AG30" s="103">
        <f>_xlfn.COUNTIFS(A217:A291,"พระยาบรรลือ",B217:B291,"&gt;0")</f>
        <v>4</v>
      </c>
      <c r="AH30" s="104" t="s">
        <v>46</v>
      </c>
      <c r="AI30" s="113"/>
      <c r="AJ30" s="134"/>
      <c r="AQ30" s="126"/>
      <c r="AR30" s="127"/>
    </row>
    <row r="31" spans="1:44" s="102" customFormat="1" ht="23.25" customHeight="1" hidden="1" thickBot="1">
      <c r="A31" s="87" t="s">
        <v>60</v>
      </c>
      <c r="B31" s="136">
        <v>13</v>
      </c>
      <c r="C31" s="87" t="s">
        <v>74</v>
      </c>
      <c r="D31" s="137"/>
      <c r="E31" s="137"/>
      <c r="F31" s="89"/>
      <c r="G31" s="89"/>
      <c r="H31" s="90">
        <v>1</v>
      </c>
      <c r="I31" s="91">
        <v>4</v>
      </c>
      <c r="J31" s="138"/>
      <c r="K31" s="138"/>
      <c r="L31" s="138"/>
      <c r="M31" s="138"/>
      <c r="N31" s="131">
        <v>1</v>
      </c>
      <c r="O31" s="94">
        <v>2</v>
      </c>
      <c r="P31" s="92"/>
      <c r="Q31" s="107"/>
      <c r="R31" s="107"/>
      <c r="S31" s="139"/>
      <c r="T31" s="97"/>
      <c r="U31" s="92"/>
      <c r="V31" s="138"/>
      <c r="W31" s="141"/>
      <c r="X31" s="99">
        <f t="shared" si="0"/>
        <v>0</v>
      </c>
      <c r="Y31" s="488"/>
      <c r="Z31" s="101" t="s">
        <v>42</v>
      </c>
      <c r="AD31" s="111" t="s">
        <v>48</v>
      </c>
      <c r="AE31" s="112"/>
      <c r="AF31" s="112"/>
      <c r="AG31" s="149">
        <f>_xlfn.SUMIFS(O217:O291,A217:A291,"พระยาบรรลือ",O217:O291,"&gt;0")+_xlfn.SUMIFS(O217:O291,A217:A291,"ปทุมธานี",AA217:AA291,"block 2-2")+_xlfn.SUMIFS(O217:O291,A217:A291,"นนทบุรี",AA217:AA291,"block 2-2")</f>
        <v>37</v>
      </c>
      <c r="AH31" s="103" t="s">
        <v>30</v>
      </c>
      <c r="AI31" s="150">
        <f>_xlfn.COUNTIFS(A219:A305,"พระยาบรรลือ",O219:O305,"&gt;0")+_xlfn.COUNTIFS(A219:A305,"ปทุมธานี",AA219:AA305,"block 2-2")+_xlfn.COUNTIFS(A219:A305,"นนทบุรี",AA219:AA305,"block 2-2")</f>
        <v>37</v>
      </c>
      <c r="AJ31" s="148" t="s">
        <v>46</v>
      </c>
      <c r="AQ31" s="126"/>
      <c r="AR31" s="127"/>
    </row>
    <row r="32" spans="1:44" s="102" customFormat="1" ht="23.25" customHeight="1" hidden="1">
      <c r="A32" s="87" t="s">
        <v>60</v>
      </c>
      <c r="B32" s="136">
        <v>14</v>
      </c>
      <c r="C32" s="87" t="s">
        <v>75</v>
      </c>
      <c r="D32" s="137"/>
      <c r="E32" s="137"/>
      <c r="F32" s="89"/>
      <c r="G32" s="89"/>
      <c r="H32" s="90">
        <v>1</v>
      </c>
      <c r="I32" s="91">
        <v>2.7</v>
      </c>
      <c r="J32" s="138"/>
      <c r="K32" s="138"/>
      <c r="L32" s="138"/>
      <c r="M32" s="138"/>
      <c r="N32" s="131">
        <v>0.5</v>
      </c>
      <c r="O32" s="94">
        <v>2</v>
      </c>
      <c r="P32" s="92"/>
      <c r="Q32" s="107"/>
      <c r="R32" s="107"/>
      <c r="S32" s="139"/>
      <c r="T32" s="97"/>
      <c r="U32" s="92"/>
      <c r="V32" s="138"/>
      <c r="W32" s="141"/>
      <c r="X32" s="99">
        <f t="shared" si="0"/>
        <v>0</v>
      </c>
      <c r="Y32" s="488"/>
      <c r="Z32" s="101" t="s">
        <v>42</v>
      </c>
      <c r="AD32" s="111" t="s">
        <v>50</v>
      </c>
      <c r="AE32" s="112"/>
      <c r="AF32" s="112"/>
      <c r="AG32" s="149">
        <f>_xlfn.SUMIFS(T217:T291,A217:A291,"พระยาบรรลือ",S217:S291,"&gt;0")+_xlfn.SUMIFS(T217:T291,A217:A291,"ปทุมธานี",AA217:AA291,"block 2-2")+_xlfn.SUMIFS(T217:T291,A217:A291,"นนทบุรี",AA217:AA291,"block 2-2")</f>
        <v>10</v>
      </c>
      <c r="AH32" s="104" t="s">
        <v>30</v>
      </c>
      <c r="AQ32" s="126"/>
      <c r="AR32" s="127"/>
    </row>
    <row r="33" spans="1:44" s="102" customFormat="1" ht="23.25" customHeight="1" thickBot="1">
      <c r="A33" s="87" t="s">
        <v>60</v>
      </c>
      <c r="B33" s="88">
        <v>15</v>
      </c>
      <c r="C33" s="87" t="s">
        <v>76</v>
      </c>
      <c r="D33" s="151"/>
      <c r="E33" s="151"/>
      <c r="F33" s="151"/>
      <c r="G33" s="151"/>
      <c r="H33" s="152">
        <v>1</v>
      </c>
      <c r="I33" s="153">
        <v>6</v>
      </c>
      <c r="J33" s="92"/>
      <c r="K33" s="92"/>
      <c r="L33" s="92"/>
      <c r="M33" s="92"/>
      <c r="N33" s="131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107"/>
      <c r="V33" s="107"/>
      <c r="W33" s="107"/>
      <c r="X33" s="99">
        <f t="shared" si="0"/>
        <v>0</v>
      </c>
      <c r="Y33" s="100"/>
      <c r="Z33" s="101" t="s">
        <v>42</v>
      </c>
      <c r="AD33" s="142" t="s">
        <v>52</v>
      </c>
      <c r="AE33" s="143"/>
      <c r="AF33" s="143"/>
      <c r="AG33" s="144">
        <f>SUMIF(A217:A291,"พระยาบรรลือ",X217:X291)+_xlfn.SUMIFS(X217:X291,A217:A291,"ปทุมธานี",AA217:AA291,"block 2-2")+_xlfn.SUMIFS(X217:X291,A217:A291,"นนทบุรี",AA217:AA291,"block 2-2")</f>
        <v>1.374</v>
      </c>
      <c r="AH33" s="145" t="s">
        <v>53</v>
      </c>
      <c r="AQ33" s="126"/>
      <c r="AR33" s="127"/>
    </row>
    <row r="34" spans="1:44" s="102" customFormat="1" ht="23.25" customHeight="1" hidden="1" thickBot="1">
      <c r="A34" s="87" t="s">
        <v>60</v>
      </c>
      <c r="B34" s="136">
        <v>16</v>
      </c>
      <c r="C34" s="87" t="s">
        <v>77</v>
      </c>
      <c r="D34" s="137"/>
      <c r="E34" s="137"/>
      <c r="F34" s="154"/>
      <c r="G34" s="137"/>
      <c r="H34" s="90">
        <v>1</v>
      </c>
      <c r="I34" s="91">
        <v>2.7</v>
      </c>
      <c r="J34" s="138"/>
      <c r="K34" s="138"/>
      <c r="L34" s="138"/>
      <c r="M34" s="138"/>
      <c r="N34" s="131">
        <v>0.5</v>
      </c>
      <c r="O34" s="94">
        <v>2</v>
      </c>
      <c r="P34" s="92"/>
      <c r="Q34" s="138"/>
      <c r="R34" s="138"/>
      <c r="S34" s="139"/>
      <c r="T34" s="97"/>
      <c r="U34" s="92"/>
      <c r="V34" s="138"/>
      <c r="W34" s="141"/>
      <c r="X34" s="99">
        <f t="shared" si="0"/>
        <v>0</v>
      </c>
      <c r="Y34" s="488"/>
      <c r="Z34" s="101" t="s">
        <v>42</v>
      </c>
      <c r="AQ34" s="126"/>
      <c r="AR34" s="127"/>
    </row>
    <row r="35" spans="1:44" s="102" customFormat="1" ht="23.25" customHeight="1" hidden="1">
      <c r="A35" s="87" t="s">
        <v>60</v>
      </c>
      <c r="B35" s="136">
        <v>17</v>
      </c>
      <c r="C35" s="87" t="s">
        <v>78</v>
      </c>
      <c r="D35" s="137"/>
      <c r="E35" s="137"/>
      <c r="F35" s="154"/>
      <c r="G35" s="137"/>
      <c r="H35" s="90">
        <v>1</v>
      </c>
      <c r="I35" s="91">
        <v>1</v>
      </c>
      <c r="J35" s="138"/>
      <c r="K35" s="138"/>
      <c r="L35" s="138"/>
      <c r="M35" s="138"/>
      <c r="N35" s="131">
        <v>0.5</v>
      </c>
      <c r="O35" s="94">
        <v>1</v>
      </c>
      <c r="P35" s="92"/>
      <c r="Q35" s="138"/>
      <c r="R35" s="138"/>
      <c r="S35" s="139"/>
      <c r="T35" s="97"/>
      <c r="U35" s="92"/>
      <c r="V35" s="138"/>
      <c r="W35" s="141"/>
      <c r="X35" s="99">
        <f t="shared" si="0"/>
        <v>0</v>
      </c>
      <c r="Y35" s="488"/>
      <c r="Z35" s="101" t="s">
        <v>42</v>
      </c>
      <c r="AD35" s="530" t="s">
        <v>79</v>
      </c>
      <c r="AE35" s="531"/>
      <c r="AF35" s="531"/>
      <c r="AG35" s="531"/>
      <c r="AH35" s="147"/>
      <c r="AQ35" s="153">
        <v>0.3</v>
      </c>
      <c r="AR35" s="152">
        <v>3</v>
      </c>
    </row>
    <row r="36" spans="1:44" s="102" customFormat="1" ht="23.25" customHeight="1" thickBot="1">
      <c r="A36" s="87" t="s">
        <v>60</v>
      </c>
      <c r="B36" s="88">
        <v>18</v>
      </c>
      <c r="C36" s="87" t="s">
        <v>80</v>
      </c>
      <c r="D36" s="155"/>
      <c r="E36" s="155"/>
      <c r="F36" s="156"/>
      <c r="G36" s="155"/>
      <c r="H36" s="90">
        <v>1</v>
      </c>
      <c r="I36" s="91">
        <v>2</v>
      </c>
      <c r="J36" s="107"/>
      <c r="K36" s="107"/>
      <c r="L36" s="107"/>
      <c r="M36" s="107"/>
      <c r="N36" s="93"/>
      <c r="O36" s="146"/>
      <c r="P36" s="92"/>
      <c r="Q36" s="107"/>
      <c r="R36" s="107"/>
      <c r="S36" s="139"/>
      <c r="T36" s="97"/>
      <c r="U36" s="92"/>
      <c r="V36" s="107"/>
      <c r="W36" s="92"/>
      <c r="X36" s="99">
        <f t="shared" si="0"/>
        <v>0</v>
      </c>
      <c r="Y36" s="100"/>
      <c r="Z36" s="101" t="s">
        <v>42</v>
      </c>
      <c r="AD36" s="532" t="s">
        <v>43</v>
      </c>
      <c r="AE36" s="533"/>
      <c r="AF36" s="533"/>
      <c r="AG36" s="103"/>
      <c r="AH36" s="104"/>
      <c r="AQ36" s="153">
        <v>0.15</v>
      </c>
      <c r="AR36" s="152">
        <v>2</v>
      </c>
    </row>
    <row r="37" spans="1:44" s="102" customFormat="1" ht="23.25" customHeight="1" hidden="1" thickBot="1">
      <c r="A37" s="87" t="s">
        <v>60</v>
      </c>
      <c r="B37" s="136">
        <v>19</v>
      </c>
      <c r="C37" s="87" t="s">
        <v>81</v>
      </c>
      <c r="D37" s="137"/>
      <c r="E37" s="137"/>
      <c r="F37" s="154"/>
      <c r="G37" s="137"/>
      <c r="H37" s="90">
        <v>1</v>
      </c>
      <c r="I37" s="91">
        <v>4</v>
      </c>
      <c r="J37" s="138"/>
      <c r="K37" s="138"/>
      <c r="L37" s="138"/>
      <c r="M37" s="138"/>
      <c r="N37" s="131">
        <v>3</v>
      </c>
      <c r="O37" s="94">
        <v>3</v>
      </c>
      <c r="P37" s="92"/>
      <c r="Q37" s="138"/>
      <c r="R37" s="138"/>
      <c r="S37" s="139"/>
      <c r="T37" s="97"/>
      <c r="U37" s="92"/>
      <c r="V37" s="138"/>
      <c r="W37" s="141"/>
      <c r="X37" s="99">
        <f t="shared" si="0"/>
        <v>0</v>
      </c>
      <c r="Y37" s="488"/>
      <c r="Z37" s="101" t="s">
        <v>42</v>
      </c>
      <c r="AD37" s="528" t="s">
        <v>45</v>
      </c>
      <c r="AE37" s="529"/>
      <c r="AF37" s="529"/>
      <c r="AG37" s="103">
        <f>_xlfn.COUNTIFS(A120:A215,"พระพิมล",B120:B215,"&gt;0")</f>
        <v>29</v>
      </c>
      <c r="AH37" s="104" t="s">
        <v>46</v>
      </c>
      <c r="AI37" s="113"/>
      <c r="AJ37" s="134"/>
      <c r="AQ37" s="126"/>
      <c r="AR37" s="127"/>
    </row>
    <row r="38" spans="1:54" s="102" customFormat="1" ht="23.25" customHeight="1" hidden="1" thickBot="1">
      <c r="A38" s="87" t="s">
        <v>60</v>
      </c>
      <c r="B38" s="136">
        <v>20</v>
      </c>
      <c r="C38" s="87" t="s">
        <v>82</v>
      </c>
      <c r="D38" s="137"/>
      <c r="E38" s="137"/>
      <c r="F38" s="154"/>
      <c r="G38" s="137"/>
      <c r="H38" s="90">
        <v>1</v>
      </c>
      <c r="I38" s="91">
        <v>4</v>
      </c>
      <c r="J38" s="138"/>
      <c r="K38" s="138"/>
      <c r="L38" s="138"/>
      <c r="M38" s="138"/>
      <c r="N38" s="131">
        <v>3</v>
      </c>
      <c r="O38" s="94">
        <v>3</v>
      </c>
      <c r="P38" s="92"/>
      <c r="Q38" s="138"/>
      <c r="R38" s="138"/>
      <c r="S38" s="139"/>
      <c r="T38" s="97"/>
      <c r="U38" s="92"/>
      <c r="V38" s="138"/>
      <c r="W38" s="141"/>
      <c r="X38" s="99">
        <f t="shared" si="0"/>
        <v>0</v>
      </c>
      <c r="Y38" s="488"/>
      <c r="Z38" s="101" t="s">
        <v>42</v>
      </c>
      <c r="AA38" s="157"/>
      <c r="AB38" s="129"/>
      <c r="AC38" s="129"/>
      <c r="AD38" s="111" t="s">
        <v>48</v>
      </c>
      <c r="AE38" s="112"/>
      <c r="AF38" s="112"/>
      <c r="AG38" s="115">
        <f>_xlfn.SUMIFS(O120:O215,A120:A215,"พระพิมล",O120:O215,"&gt;0")</f>
        <v>28</v>
      </c>
      <c r="AH38" s="103" t="s">
        <v>30</v>
      </c>
      <c r="AI38" s="158">
        <f>_xlfn.COUNTIFS(A111:A216,"พระพิมล",O111:O216,"&gt;0")</f>
        <v>4</v>
      </c>
      <c r="AJ38" s="148" t="s">
        <v>46</v>
      </c>
      <c r="AK38" s="157"/>
      <c r="AL38" s="157"/>
      <c r="AM38" s="157"/>
      <c r="AN38" s="157"/>
      <c r="AO38" s="157"/>
      <c r="AP38" s="157"/>
      <c r="AQ38" s="159"/>
      <c r="AR38" s="160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1:44" s="102" customFormat="1" ht="23.25" customHeight="1" hidden="1">
      <c r="A39" s="87" t="s">
        <v>60</v>
      </c>
      <c r="B39" s="136">
        <v>21</v>
      </c>
      <c r="C39" s="87" t="s">
        <v>83</v>
      </c>
      <c r="D39" s="137"/>
      <c r="E39" s="137"/>
      <c r="F39" s="154"/>
      <c r="G39" s="137"/>
      <c r="H39" s="90">
        <v>1</v>
      </c>
      <c r="I39" s="91">
        <v>3</v>
      </c>
      <c r="J39" s="138"/>
      <c r="K39" s="138"/>
      <c r="L39" s="138"/>
      <c r="M39" s="138"/>
      <c r="N39" s="131">
        <v>1</v>
      </c>
      <c r="O39" s="94">
        <v>2</v>
      </c>
      <c r="P39" s="92"/>
      <c r="Q39" s="138"/>
      <c r="R39" s="138"/>
      <c r="S39" s="96"/>
      <c r="T39" s="97"/>
      <c r="U39" s="107"/>
      <c r="V39" s="138"/>
      <c r="W39" s="138"/>
      <c r="X39" s="99">
        <f t="shared" si="0"/>
        <v>0</v>
      </c>
      <c r="Y39" s="488"/>
      <c r="Z39" s="101" t="s">
        <v>42</v>
      </c>
      <c r="AD39" s="111" t="s">
        <v>50</v>
      </c>
      <c r="AE39" s="112"/>
      <c r="AF39" s="112"/>
      <c r="AG39" s="149">
        <f>_xlfn.SUMIFS(T120:T215,A120:A215,"พระพิมล",S120:S215,"&gt;0")</f>
        <v>31</v>
      </c>
      <c r="AH39" s="104" t="s">
        <v>30</v>
      </c>
      <c r="AQ39" s="126"/>
      <c r="AR39" s="127"/>
    </row>
    <row r="40" spans="1:44" s="102" customFormat="1" ht="23.25" customHeight="1" hidden="1" thickBot="1">
      <c r="A40" s="87" t="s">
        <v>60</v>
      </c>
      <c r="B40" s="136">
        <v>22</v>
      </c>
      <c r="C40" s="87" t="s">
        <v>84</v>
      </c>
      <c r="D40" s="137"/>
      <c r="E40" s="137"/>
      <c r="F40" s="154"/>
      <c r="G40" s="137"/>
      <c r="H40" s="90">
        <v>1</v>
      </c>
      <c r="I40" s="91">
        <v>6</v>
      </c>
      <c r="J40" s="138"/>
      <c r="K40" s="138"/>
      <c r="L40" s="138"/>
      <c r="M40" s="138"/>
      <c r="N40" s="131">
        <v>3</v>
      </c>
      <c r="O40" s="94">
        <v>3</v>
      </c>
      <c r="P40" s="92"/>
      <c r="Q40" s="138"/>
      <c r="R40" s="138"/>
      <c r="S40" s="139"/>
      <c r="T40" s="97"/>
      <c r="U40" s="92"/>
      <c r="V40" s="138"/>
      <c r="W40" s="141"/>
      <c r="X40" s="99">
        <f t="shared" si="0"/>
        <v>0</v>
      </c>
      <c r="Y40" s="488"/>
      <c r="Z40" s="101" t="s">
        <v>42</v>
      </c>
      <c r="AD40" s="142" t="s">
        <v>52</v>
      </c>
      <c r="AE40" s="143"/>
      <c r="AF40" s="143"/>
      <c r="AG40" s="144">
        <f>SUMIF(A120:A215,"พระพิมล",X120:X215)+SUMIF(A120:A215,"สมุทรสาคร",X120:X215)</f>
        <v>1.5552</v>
      </c>
      <c r="AH40" s="145" t="s">
        <v>53</v>
      </c>
      <c r="AQ40" s="126"/>
      <c r="AR40" s="127"/>
    </row>
    <row r="41" spans="1:44" s="166" customFormat="1" ht="23.25" customHeight="1">
      <c r="A41" s="87" t="s">
        <v>85</v>
      </c>
      <c r="B41" s="161">
        <v>1</v>
      </c>
      <c r="C41" s="87" t="s">
        <v>86</v>
      </c>
      <c r="D41" s="162">
        <v>0.95</v>
      </c>
      <c r="E41" s="162">
        <v>1.25</v>
      </c>
      <c r="F41" s="162">
        <v>1.1</v>
      </c>
      <c r="G41" s="162">
        <v>1.4</v>
      </c>
      <c r="H41" s="90">
        <v>1</v>
      </c>
      <c r="I41" s="91">
        <v>6</v>
      </c>
      <c r="J41" s="163"/>
      <c r="K41" s="163"/>
      <c r="L41" s="163"/>
      <c r="M41" s="163"/>
      <c r="N41" s="131">
        <v>3</v>
      </c>
      <c r="O41" s="94">
        <v>5</v>
      </c>
      <c r="P41" s="163">
        <v>3</v>
      </c>
      <c r="Q41" s="163">
        <v>12</v>
      </c>
      <c r="R41" s="163">
        <f>388800/1000000</f>
        <v>0.3888</v>
      </c>
      <c r="S41" s="96">
        <v>3</v>
      </c>
      <c r="T41" s="97">
        <v>2</v>
      </c>
      <c r="U41" s="163"/>
      <c r="V41" s="163"/>
      <c r="W41" s="163"/>
      <c r="X41" s="99">
        <f t="shared" si="0"/>
        <v>0.3888</v>
      </c>
      <c r="Y41" s="164"/>
      <c r="Z41" s="165" t="s">
        <v>42</v>
      </c>
      <c r="AD41" s="564" t="s">
        <v>57</v>
      </c>
      <c r="AE41" s="565"/>
      <c r="AF41" s="565"/>
      <c r="AG41" s="167"/>
      <c r="AH41" s="168"/>
      <c r="AQ41" s="169"/>
      <c r="AR41" s="170"/>
    </row>
    <row r="42" spans="1:44" s="102" customFormat="1" ht="23.25" customHeight="1" thickBot="1">
      <c r="A42" s="87" t="s">
        <v>85</v>
      </c>
      <c r="B42" s="88">
        <v>2</v>
      </c>
      <c r="C42" s="87" t="s">
        <v>87</v>
      </c>
      <c r="D42" s="171">
        <v>0.95</v>
      </c>
      <c r="E42" s="171">
        <v>1.25</v>
      </c>
      <c r="F42" s="171">
        <v>1</v>
      </c>
      <c r="G42" s="171">
        <v>1.35</v>
      </c>
      <c r="H42" s="90">
        <v>1</v>
      </c>
      <c r="I42" s="91">
        <v>6</v>
      </c>
      <c r="J42" s="107"/>
      <c r="K42" s="107"/>
      <c r="L42" s="107"/>
      <c r="M42" s="107"/>
      <c r="N42" s="131">
        <v>3</v>
      </c>
      <c r="O42" s="94">
        <v>5</v>
      </c>
      <c r="P42" s="107"/>
      <c r="Q42" s="107"/>
      <c r="R42" s="107"/>
      <c r="S42" s="96">
        <v>3</v>
      </c>
      <c r="T42" s="97">
        <v>2</v>
      </c>
      <c r="U42" s="107"/>
      <c r="V42" s="107"/>
      <c r="W42" s="107"/>
      <c r="X42" s="99">
        <f t="shared" si="0"/>
        <v>0</v>
      </c>
      <c r="Y42" s="100"/>
      <c r="Z42" s="101" t="s">
        <v>42</v>
      </c>
      <c r="AB42" s="103"/>
      <c r="AC42" s="103"/>
      <c r="AD42" s="528" t="s">
        <v>45</v>
      </c>
      <c r="AE42" s="529"/>
      <c r="AF42" s="529"/>
      <c r="AG42" s="172">
        <f>_xlfn.COUNTIFS(A217:A291,"พระพิมล",B217:B291,"&gt;0")+COUNTIF(AA217:AA291,"block 3-2")</f>
        <v>23</v>
      </c>
      <c r="AH42" s="104" t="s">
        <v>46</v>
      </c>
      <c r="AI42" s="113"/>
      <c r="AJ42" s="134"/>
      <c r="AQ42" s="126"/>
      <c r="AR42" s="127"/>
    </row>
    <row r="43" spans="1:54" s="102" customFormat="1" ht="23.25" customHeight="1" thickBot="1">
      <c r="A43" s="87" t="s">
        <v>85</v>
      </c>
      <c r="B43" s="88">
        <v>3</v>
      </c>
      <c r="C43" s="87" t="s">
        <v>88</v>
      </c>
      <c r="D43" s="171"/>
      <c r="E43" s="171"/>
      <c r="F43" s="171"/>
      <c r="G43" s="171"/>
      <c r="H43" s="90">
        <v>1</v>
      </c>
      <c r="I43" s="91">
        <v>2</v>
      </c>
      <c r="J43" s="107"/>
      <c r="K43" s="107"/>
      <c r="L43" s="107"/>
      <c r="M43" s="107"/>
      <c r="N43" s="131"/>
      <c r="O43" s="94"/>
      <c r="P43" s="92"/>
      <c r="Q43" s="107"/>
      <c r="R43" s="107"/>
      <c r="S43" s="96">
        <v>1</v>
      </c>
      <c r="T43" s="97">
        <v>1</v>
      </c>
      <c r="U43" s="92"/>
      <c r="V43" s="92"/>
      <c r="W43" s="92"/>
      <c r="X43" s="99">
        <f t="shared" si="0"/>
        <v>0</v>
      </c>
      <c r="Y43" s="100"/>
      <c r="Z43" s="101"/>
      <c r="AA43" s="157"/>
      <c r="AB43" s="129"/>
      <c r="AC43" s="129"/>
      <c r="AD43" s="111" t="s">
        <v>48</v>
      </c>
      <c r="AE43" s="112"/>
      <c r="AF43" s="112"/>
      <c r="AG43" s="115">
        <f>_xlfn.SUMIFS(O217:O291,A217:A291,"พระพิมล",O217:O291,"&gt;0")+SUMIF(AA217:AA291,"block 3-2",O217:O291)</f>
        <v>20</v>
      </c>
      <c r="AH43" s="103" t="s">
        <v>30</v>
      </c>
      <c r="AI43" s="173">
        <f>_xlfn.COUNTIFS(A219:A305,"พระพิมล",O219:O305,"&gt;0")+_xlfn.COUNTIFS(AA219:AA305,"block 3-2",O219:O305,"&gt;0")</f>
        <v>12</v>
      </c>
      <c r="AJ43" s="148" t="s">
        <v>46</v>
      </c>
      <c r="AK43" s="157"/>
      <c r="AL43" s="157"/>
      <c r="AM43" s="157"/>
      <c r="AN43" s="157"/>
      <c r="AO43" s="157"/>
      <c r="AP43" s="157"/>
      <c r="AQ43" s="159"/>
      <c r="AR43" s="160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1:54" s="102" customFormat="1" ht="23.25" customHeight="1">
      <c r="A44" s="87" t="s">
        <v>85</v>
      </c>
      <c r="B44" s="88">
        <v>4</v>
      </c>
      <c r="C44" s="87" t="s">
        <v>89</v>
      </c>
      <c r="D44" s="171"/>
      <c r="E44" s="171"/>
      <c r="F44" s="171"/>
      <c r="G44" s="171"/>
      <c r="H44" s="90">
        <v>1</v>
      </c>
      <c r="I44" s="91">
        <v>4</v>
      </c>
      <c r="J44" s="107"/>
      <c r="K44" s="107"/>
      <c r="L44" s="107"/>
      <c r="M44" s="107"/>
      <c r="N44" s="131"/>
      <c r="O44" s="94"/>
      <c r="P44" s="107"/>
      <c r="Q44" s="107"/>
      <c r="R44" s="107"/>
      <c r="S44" s="96">
        <v>0.8</v>
      </c>
      <c r="T44" s="97">
        <v>1</v>
      </c>
      <c r="U44" s="92"/>
      <c r="V44" s="92"/>
      <c r="W44" s="92"/>
      <c r="X44" s="99">
        <f t="shared" si="0"/>
        <v>0</v>
      </c>
      <c r="Y44" s="100"/>
      <c r="Z44" s="101"/>
      <c r="AA44" s="157"/>
      <c r="AB44" s="129"/>
      <c r="AC44" s="129"/>
      <c r="AD44" s="111" t="s">
        <v>50</v>
      </c>
      <c r="AE44" s="112"/>
      <c r="AF44" s="112"/>
      <c r="AG44" s="115">
        <f>_xlfn.SUMIFS(T217:T291,A217:A291,"พระพิมล",S217:S291,"&gt;0")+SUMIF(AA217:AA291,"block 3-2",T217:T291)</f>
        <v>5</v>
      </c>
      <c r="AH44" s="104" t="s">
        <v>30</v>
      </c>
      <c r="AI44" s="157"/>
      <c r="AJ44" s="157"/>
      <c r="AK44" s="157"/>
      <c r="AL44" s="157"/>
      <c r="AM44" s="157"/>
      <c r="AN44" s="157"/>
      <c r="AO44" s="157"/>
      <c r="AP44" s="157"/>
      <c r="AQ44" s="159"/>
      <c r="AR44" s="160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1:54" s="102" customFormat="1" ht="23.25" customHeight="1" thickBot="1">
      <c r="A45" s="87" t="s">
        <v>85</v>
      </c>
      <c r="B45" s="88">
        <v>5</v>
      </c>
      <c r="C45" s="87" t="s">
        <v>90</v>
      </c>
      <c r="D45" s="171"/>
      <c r="E45" s="171"/>
      <c r="F45" s="171"/>
      <c r="G45" s="171"/>
      <c r="H45" s="90">
        <v>1</v>
      </c>
      <c r="I45" s="91">
        <v>6</v>
      </c>
      <c r="J45" s="107"/>
      <c r="K45" s="107"/>
      <c r="L45" s="107"/>
      <c r="M45" s="107"/>
      <c r="N45" s="131"/>
      <c r="O45" s="94"/>
      <c r="P45" s="107"/>
      <c r="Q45" s="107"/>
      <c r="R45" s="107"/>
      <c r="S45" s="139"/>
      <c r="T45" s="97"/>
      <c r="U45" s="92"/>
      <c r="V45" s="107"/>
      <c r="W45" s="92"/>
      <c r="X45" s="99">
        <f t="shared" si="0"/>
        <v>0</v>
      </c>
      <c r="Y45" s="100"/>
      <c r="Z45" s="101"/>
      <c r="AA45" s="157"/>
      <c r="AB45" s="167"/>
      <c r="AC45" s="167"/>
      <c r="AD45" s="142" t="s">
        <v>52</v>
      </c>
      <c r="AE45" s="143"/>
      <c r="AF45" s="143"/>
      <c r="AG45" s="144">
        <f>SUMIF(A217:A291,"พระพิมล",X217:X291)+SUMIF(AA217:AA291,"block 3-2",X217:X291)</f>
        <v>0.23365993550944525</v>
      </c>
      <c r="AH45" s="145" t="s">
        <v>53</v>
      </c>
      <c r="AI45" s="157"/>
      <c r="AJ45" s="157"/>
      <c r="AK45" s="157"/>
      <c r="AL45" s="157"/>
      <c r="AM45" s="157"/>
      <c r="AN45" s="157"/>
      <c r="AO45" s="157"/>
      <c r="AP45" s="157"/>
      <c r="AQ45" s="159"/>
      <c r="AR45" s="160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1:54" s="102" customFormat="1" ht="23.25" customHeight="1" thickBot="1">
      <c r="A46" s="87" t="s">
        <v>85</v>
      </c>
      <c r="B46" s="88">
        <v>6</v>
      </c>
      <c r="C46" s="87" t="s">
        <v>91</v>
      </c>
      <c r="D46" s="171"/>
      <c r="E46" s="171"/>
      <c r="F46" s="171"/>
      <c r="G46" s="171"/>
      <c r="H46" s="90">
        <v>1</v>
      </c>
      <c r="I46" s="91">
        <v>6</v>
      </c>
      <c r="J46" s="107"/>
      <c r="K46" s="107"/>
      <c r="L46" s="107"/>
      <c r="M46" s="107"/>
      <c r="N46" s="131"/>
      <c r="O46" s="94"/>
      <c r="P46" s="107"/>
      <c r="Q46" s="107"/>
      <c r="R46" s="107"/>
      <c r="S46" s="174"/>
      <c r="T46" s="97"/>
      <c r="U46" s="92"/>
      <c r="V46" s="107"/>
      <c r="W46" s="92"/>
      <c r="X46" s="99">
        <f t="shared" si="0"/>
        <v>0</v>
      </c>
      <c r="Y46" s="100"/>
      <c r="Z46" s="101"/>
      <c r="AA46" s="157"/>
      <c r="AB46" s="129"/>
      <c r="AC46" s="129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9"/>
      <c r="AR46" s="160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1:54" s="157" customFormat="1" ht="23.25" customHeight="1">
      <c r="A47" s="87" t="s">
        <v>85</v>
      </c>
      <c r="B47" s="108">
        <v>7</v>
      </c>
      <c r="C47" s="87" t="s">
        <v>92</v>
      </c>
      <c r="D47" s="171">
        <v>0.7</v>
      </c>
      <c r="E47" s="171">
        <v>1.45</v>
      </c>
      <c r="F47" s="171">
        <v>0.9</v>
      </c>
      <c r="G47" s="171">
        <v>1.5</v>
      </c>
      <c r="H47" s="90">
        <v>2</v>
      </c>
      <c r="I47" s="91">
        <v>6</v>
      </c>
      <c r="J47" s="107"/>
      <c r="K47" s="107"/>
      <c r="L47" s="107"/>
      <c r="M47" s="107"/>
      <c r="N47" s="131">
        <v>3</v>
      </c>
      <c r="O47" s="94">
        <v>4</v>
      </c>
      <c r="P47" s="92"/>
      <c r="Q47" s="175"/>
      <c r="R47" s="175"/>
      <c r="S47" s="139"/>
      <c r="T47" s="97"/>
      <c r="U47" s="92"/>
      <c r="V47" s="163"/>
      <c r="W47" s="175"/>
      <c r="X47" s="99">
        <f t="shared" si="0"/>
        <v>0</v>
      </c>
      <c r="Y47" s="100"/>
      <c r="Z47" s="165"/>
      <c r="AA47" s="176"/>
      <c r="AB47" s="129">
        <f>G47-F47</f>
        <v>0.6</v>
      </c>
      <c r="AC47" s="129">
        <f>G47</f>
        <v>1.5</v>
      </c>
      <c r="AD47" s="530" t="s">
        <v>93</v>
      </c>
      <c r="AE47" s="531"/>
      <c r="AF47" s="531"/>
      <c r="AG47" s="531"/>
      <c r="AH47" s="147"/>
      <c r="AI47" s="102"/>
      <c r="AJ47" s="102"/>
      <c r="AK47" s="102"/>
      <c r="AL47" s="102"/>
      <c r="AM47" s="102"/>
      <c r="AN47" s="102"/>
      <c r="AO47" s="102"/>
      <c r="AP47" s="102"/>
      <c r="AQ47" s="177"/>
      <c r="AR47" s="178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</row>
    <row r="48" spans="1:54" s="157" customFormat="1" ht="23.25" customHeight="1">
      <c r="A48" s="87" t="s">
        <v>85</v>
      </c>
      <c r="B48" s="108">
        <v>8</v>
      </c>
      <c r="C48" s="87" t="s">
        <v>94</v>
      </c>
      <c r="D48" s="171">
        <v>0.8</v>
      </c>
      <c r="E48" s="171">
        <v>1.3</v>
      </c>
      <c r="F48" s="171">
        <v>0.8</v>
      </c>
      <c r="G48" s="171">
        <v>1.4</v>
      </c>
      <c r="H48" s="90">
        <v>2</v>
      </c>
      <c r="I48" s="91">
        <v>6</v>
      </c>
      <c r="J48" s="107"/>
      <c r="K48" s="107"/>
      <c r="L48" s="107"/>
      <c r="M48" s="107"/>
      <c r="N48" s="131"/>
      <c r="O48" s="94"/>
      <c r="P48" s="107"/>
      <c r="Q48" s="107"/>
      <c r="R48" s="107"/>
      <c r="S48" s="174"/>
      <c r="T48" s="97">
        <v>2</v>
      </c>
      <c r="U48" s="92"/>
      <c r="V48" s="163"/>
      <c r="W48" s="175"/>
      <c r="X48" s="99">
        <f t="shared" si="0"/>
        <v>0</v>
      </c>
      <c r="Y48" s="489"/>
      <c r="Z48" s="165"/>
      <c r="AA48" s="102"/>
      <c r="AB48" s="129"/>
      <c r="AC48" s="179"/>
      <c r="AD48" s="532" t="s">
        <v>43</v>
      </c>
      <c r="AE48" s="533"/>
      <c r="AF48" s="533"/>
      <c r="AG48" s="103"/>
      <c r="AH48" s="104"/>
      <c r="AI48" s="180"/>
      <c r="AJ48" s="102"/>
      <c r="AK48" s="102"/>
      <c r="AL48" s="102"/>
      <c r="AM48" s="102"/>
      <c r="AN48" s="102"/>
      <c r="AO48" s="102"/>
      <c r="AP48" s="102"/>
      <c r="AQ48" s="126"/>
      <c r="AR48" s="106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</row>
    <row r="49" spans="1:54" s="157" customFormat="1" ht="23.25" customHeight="1" thickBot="1">
      <c r="A49" s="87" t="s">
        <v>85</v>
      </c>
      <c r="B49" s="108">
        <v>9</v>
      </c>
      <c r="C49" s="87" t="s">
        <v>95</v>
      </c>
      <c r="D49" s="171">
        <v>0.7</v>
      </c>
      <c r="E49" s="171">
        <v>1.2</v>
      </c>
      <c r="F49" s="171">
        <v>0.7</v>
      </c>
      <c r="G49" s="171">
        <v>1.3</v>
      </c>
      <c r="H49" s="90">
        <v>0.1</v>
      </c>
      <c r="I49" s="91">
        <v>4</v>
      </c>
      <c r="J49" s="107"/>
      <c r="K49" s="107"/>
      <c r="L49" s="107"/>
      <c r="M49" s="107"/>
      <c r="N49" s="131">
        <v>1</v>
      </c>
      <c r="O49" s="94">
        <v>2</v>
      </c>
      <c r="P49" s="107">
        <v>2</v>
      </c>
      <c r="Q49" s="107">
        <v>2</v>
      </c>
      <c r="R49" s="107">
        <f>14400/1000000</f>
        <v>0.0144</v>
      </c>
      <c r="S49" s="174">
        <v>3</v>
      </c>
      <c r="T49" s="97">
        <v>2</v>
      </c>
      <c r="U49" s="107"/>
      <c r="V49" s="107"/>
      <c r="W49" s="107"/>
      <c r="X49" s="99">
        <f t="shared" si="0"/>
        <v>0.0144</v>
      </c>
      <c r="Y49" s="100"/>
      <c r="Z49" s="165"/>
      <c r="AA49" s="102"/>
      <c r="AB49" s="129"/>
      <c r="AC49" s="129"/>
      <c r="AD49" s="528" t="s">
        <v>45</v>
      </c>
      <c r="AE49" s="529"/>
      <c r="AF49" s="529"/>
      <c r="AG49" s="149">
        <f>_xlfn.COUNTIFS(A120:A215,"ภาษีเจริญ",B120:B215,"&gt;0")+_xlfn.COUNTIFS(A120:A215,"สมุทรสาคร",B120:B215,"&gt;0")</f>
        <v>34</v>
      </c>
      <c r="AH49" s="104" t="s">
        <v>46</v>
      </c>
      <c r="AI49" s="181"/>
      <c r="AJ49" s="134"/>
      <c r="AK49" s="102"/>
      <c r="AL49" s="102"/>
      <c r="AM49" s="102"/>
      <c r="AN49" s="102"/>
      <c r="AO49" s="102"/>
      <c r="AP49" s="102"/>
      <c r="AQ49" s="126"/>
      <c r="AR49" s="106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</row>
    <row r="50" spans="1:54" s="157" customFormat="1" ht="23.25" customHeight="1" thickBot="1">
      <c r="A50" s="87" t="s">
        <v>85</v>
      </c>
      <c r="B50" s="108">
        <v>10</v>
      </c>
      <c r="C50" s="87" t="s">
        <v>96</v>
      </c>
      <c r="D50" s="171">
        <v>0.9</v>
      </c>
      <c r="E50" s="171">
        <v>1.4</v>
      </c>
      <c r="F50" s="171">
        <v>0.9</v>
      </c>
      <c r="G50" s="171">
        <v>1.5</v>
      </c>
      <c r="H50" s="90">
        <v>2</v>
      </c>
      <c r="I50" s="91">
        <v>6</v>
      </c>
      <c r="J50" s="107"/>
      <c r="K50" s="107"/>
      <c r="L50" s="107"/>
      <c r="M50" s="107"/>
      <c r="N50" s="131">
        <v>3</v>
      </c>
      <c r="O50" s="94">
        <v>6</v>
      </c>
      <c r="P50" s="107">
        <v>3</v>
      </c>
      <c r="Q50" s="107">
        <v>12</v>
      </c>
      <c r="R50" s="107">
        <f>388800/1000000</f>
        <v>0.3888</v>
      </c>
      <c r="S50" s="174">
        <v>3</v>
      </c>
      <c r="T50" s="97">
        <v>2</v>
      </c>
      <c r="U50" s="92"/>
      <c r="V50" s="163"/>
      <c r="W50" s="175"/>
      <c r="X50" s="99">
        <f t="shared" si="0"/>
        <v>0.3888</v>
      </c>
      <c r="Y50" s="100"/>
      <c r="Z50" s="165"/>
      <c r="AA50" s="102"/>
      <c r="AB50" s="129">
        <f>G50-F50</f>
        <v>0.6</v>
      </c>
      <c r="AC50" s="129">
        <f>G50</f>
        <v>1.5</v>
      </c>
      <c r="AD50" s="111" t="s">
        <v>48</v>
      </c>
      <c r="AE50" s="112"/>
      <c r="AF50" s="112"/>
      <c r="AG50" s="149">
        <f>_xlfn.SUMIFS(O120:O215,A120:A215,"ภาษีเจริญ",O120:O215,"&gt;0")+_xlfn.SUMIFS(O120:O215,A120:A215,"สมุทรสาคร",O120:O215,"&gt;0")</f>
        <v>75</v>
      </c>
      <c r="AH50" s="103" t="s">
        <v>30</v>
      </c>
      <c r="AI50" s="182">
        <f>_xlfn.COUNTIFS(A111:A216,"ภาษีเจริญ",O111:O216,"&gt;0")+_xlfn.COUNTIFS(A111:A216,"สมุทรสาคร",O111:O216,"&gt;0")</f>
        <v>25</v>
      </c>
      <c r="AJ50" s="148" t="s">
        <v>46</v>
      </c>
      <c r="AK50" s="102"/>
      <c r="AL50" s="102"/>
      <c r="AM50" s="102"/>
      <c r="AN50" s="102"/>
      <c r="AO50" s="102"/>
      <c r="AP50" s="102"/>
      <c r="AQ50" s="126"/>
      <c r="AR50" s="106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</row>
    <row r="51" spans="1:54" s="102" customFormat="1" ht="47.25" customHeight="1">
      <c r="A51" s="511" t="s">
        <v>97</v>
      </c>
      <c r="B51" s="512"/>
      <c r="C51" s="183"/>
      <c r="D51" s="184"/>
      <c r="E51" s="184"/>
      <c r="F51" s="184"/>
      <c r="G51" s="184"/>
      <c r="H51" s="185"/>
      <c r="I51" s="186"/>
      <c r="J51" s="186"/>
      <c r="K51" s="186"/>
      <c r="L51" s="187"/>
      <c r="M51" s="188">
        <f>SUM(M52:M61)</f>
        <v>0</v>
      </c>
      <c r="N51" s="186"/>
      <c r="O51" s="189">
        <f>SUM(O52:O61)</f>
        <v>14</v>
      </c>
      <c r="P51" s="190">
        <f>SUM(P52:P61)</f>
        <v>9</v>
      </c>
      <c r="Q51" s="191"/>
      <c r="R51" s="188">
        <f>SUM(R52:R61)</f>
        <v>2.0412</v>
      </c>
      <c r="S51" s="186"/>
      <c r="T51" s="189">
        <f>SUM(T52:T61)</f>
        <v>16</v>
      </c>
      <c r="U51" s="192">
        <f>SUM(U52:U60)</f>
        <v>0</v>
      </c>
      <c r="V51" s="191"/>
      <c r="W51" s="188">
        <f>SUM(W52:W60)</f>
        <v>0</v>
      </c>
      <c r="X51" s="193">
        <f>SUM(X52:X60)</f>
        <v>2.0412</v>
      </c>
      <c r="Y51" s="496"/>
      <c r="Z51" s="194"/>
      <c r="AA51" s="176">
        <f>+M51+R51+W51</f>
        <v>2.0412</v>
      </c>
      <c r="AB51" s="129"/>
      <c r="AC51" s="129"/>
      <c r="AD51" s="111" t="s">
        <v>50</v>
      </c>
      <c r="AE51" s="112"/>
      <c r="AF51" s="112"/>
      <c r="AG51" s="149">
        <f>_xlfn.SUMIFS(T120:T215,A120:A215,"ภาษีเจริญ",S120:S215,"&gt;0")+_xlfn.SUMIFS(T120:T215,A120:A215,"สมุทรสาคร",S120:S215,"&gt;0")</f>
        <v>30</v>
      </c>
      <c r="AH51" s="104" t="s">
        <v>30</v>
      </c>
      <c r="AI51" s="195"/>
      <c r="AJ51" s="157"/>
      <c r="AK51" s="157"/>
      <c r="AL51" s="157"/>
      <c r="AM51" s="157"/>
      <c r="AN51" s="157"/>
      <c r="AO51" s="157"/>
      <c r="AP51" s="157"/>
      <c r="AQ51" s="159"/>
      <c r="AR51" s="152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1:44" s="102" customFormat="1" ht="25.5" customHeight="1" thickBot="1">
      <c r="A52" s="87" t="s">
        <v>55</v>
      </c>
      <c r="B52" s="88">
        <v>1</v>
      </c>
      <c r="C52" s="87" t="s">
        <v>98</v>
      </c>
      <c r="D52" s="89">
        <v>2.26</v>
      </c>
      <c r="E52" s="89">
        <v>1.67</v>
      </c>
      <c r="F52" s="89">
        <v>2.26</v>
      </c>
      <c r="G52" s="89">
        <v>1.67</v>
      </c>
      <c r="H52" s="90">
        <v>1.61</v>
      </c>
      <c r="I52" s="91">
        <v>6</v>
      </c>
      <c r="J52" s="92"/>
      <c r="K52" s="175"/>
      <c r="L52" s="175"/>
      <c r="M52" s="175"/>
      <c r="N52" s="131">
        <v>3</v>
      </c>
      <c r="O52" s="94">
        <v>5</v>
      </c>
      <c r="P52" s="92">
        <v>3</v>
      </c>
      <c r="Q52" s="92">
        <v>24</v>
      </c>
      <c r="R52" s="92">
        <f>777600/1000000</f>
        <v>0.7776</v>
      </c>
      <c r="S52" s="174">
        <v>3</v>
      </c>
      <c r="T52" s="97">
        <v>6</v>
      </c>
      <c r="U52" s="107"/>
      <c r="V52" s="107"/>
      <c r="W52" s="107"/>
      <c r="X52" s="99">
        <f>M52+R52+W52</f>
        <v>0.7776</v>
      </c>
      <c r="Y52" s="196" t="s">
        <v>407</v>
      </c>
      <c r="Z52" s="101" t="s">
        <v>99</v>
      </c>
      <c r="AB52" s="129">
        <f>G52-F52</f>
        <v>-0.5899999999999999</v>
      </c>
      <c r="AC52" s="179">
        <f>+G52</f>
        <v>1.67</v>
      </c>
      <c r="AD52" s="142" t="s">
        <v>52</v>
      </c>
      <c r="AE52" s="143"/>
      <c r="AF52" s="143"/>
      <c r="AG52" s="144">
        <f>SUMIF(A120:A215,"ภาษีเจริญ",X120:X215)+SUMIF(A120:A215,"สมุทรสาคร",X120:X215)</f>
        <v>0</v>
      </c>
      <c r="AH52" s="145" t="s">
        <v>53</v>
      </c>
      <c r="AI52" s="180"/>
      <c r="AQ52" s="126"/>
      <c r="AR52" s="106"/>
    </row>
    <row r="53" spans="1:54" s="102" customFormat="1" ht="23.25" customHeight="1" thickBot="1">
      <c r="A53" s="87" t="s">
        <v>55</v>
      </c>
      <c r="B53" s="88">
        <v>2</v>
      </c>
      <c r="C53" s="87" t="s">
        <v>100</v>
      </c>
      <c r="D53" s="89">
        <v>2.24</v>
      </c>
      <c r="E53" s="89">
        <v>1.72</v>
      </c>
      <c r="F53" s="89">
        <v>2.24</v>
      </c>
      <c r="G53" s="89">
        <v>1.72</v>
      </c>
      <c r="H53" s="90">
        <v>0.33</v>
      </c>
      <c r="I53" s="91">
        <v>6</v>
      </c>
      <c r="J53" s="107"/>
      <c r="K53" s="107"/>
      <c r="L53" s="107"/>
      <c r="M53" s="92"/>
      <c r="N53" s="93"/>
      <c r="O53" s="146"/>
      <c r="P53" s="107"/>
      <c r="Q53" s="92"/>
      <c r="R53" s="107"/>
      <c r="S53" s="139"/>
      <c r="T53" s="97"/>
      <c r="U53" s="92"/>
      <c r="V53" s="107"/>
      <c r="W53" s="92"/>
      <c r="X53" s="99">
        <f>M53+R53+W53</f>
        <v>0</v>
      </c>
      <c r="Y53" s="100"/>
      <c r="Z53" s="101" t="s">
        <v>99</v>
      </c>
      <c r="AA53" s="157"/>
      <c r="AB53" s="129">
        <f>G53-F53</f>
        <v>-0.5200000000000002</v>
      </c>
      <c r="AC53" s="129"/>
      <c r="AD53" s="103"/>
      <c r="AE53" s="197"/>
      <c r="AI53" s="198"/>
      <c r="AJ53" s="157"/>
      <c r="AK53" s="157"/>
      <c r="AL53" s="157"/>
      <c r="AM53" s="157"/>
      <c r="AN53" s="157"/>
      <c r="AO53" s="157"/>
      <c r="AP53" s="157"/>
      <c r="AQ53" s="153"/>
      <c r="AR53" s="152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1:44" s="102" customFormat="1" ht="23.2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107"/>
      <c r="K54" s="107"/>
      <c r="L54" s="107"/>
      <c r="M54" s="92"/>
      <c r="N54" s="93"/>
      <c r="O54" s="146"/>
      <c r="P54" s="107"/>
      <c r="Q54" s="107"/>
      <c r="R54" s="107"/>
      <c r="S54" s="139"/>
      <c r="T54" s="97"/>
      <c r="U54" s="92"/>
      <c r="V54" s="107"/>
      <c r="W54" s="92"/>
      <c r="X54" s="99">
        <f>M54+R54+W54</f>
        <v>0</v>
      </c>
      <c r="Y54" s="100"/>
      <c r="Z54" s="101" t="s">
        <v>99</v>
      </c>
      <c r="AD54" s="530" t="s">
        <v>102</v>
      </c>
      <c r="AE54" s="531"/>
      <c r="AF54" s="531"/>
      <c r="AG54" s="531"/>
      <c r="AH54" s="147"/>
      <c r="AI54" s="197"/>
      <c r="AQ54" s="126"/>
      <c r="AR54" s="106"/>
    </row>
    <row r="55" spans="1:54" s="157" customFormat="1" ht="23.25" customHeight="1">
      <c r="A55" s="87" t="s">
        <v>55</v>
      </c>
      <c r="B55" s="108">
        <v>4</v>
      </c>
      <c r="C55" s="87" t="s">
        <v>103</v>
      </c>
      <c r="D55" s="89">
        <v>1.58</v>
      </c>
      <c r="E55" s="89">
        <v>1.6</v>
      </c>
      <c r="F55" s="89">
        <v>1.5</v>
      </c>
      <c r="G55" s="89">
        <v>1.59</v>
      </c>
      <c r="H55" s="90">
        <v>0.25</v>
      </c>
      <c r="I55" s="91">
        <v>6</v>
      </c>
      <c r="J55" s="175"/>
      <c r="K55" s="175"/>
      <c r="L55" s="92"/>
      <c r="M55" s="92"/>
      <c r="N55" s="93"/>
      <c r="O55" s="146"/>
      <c r="P55" s="107"/>
      <c r="Q55" s="163"/>
      <c r="R55" s="163"/>
      <c r="S55" s="139"/>
      <c r="T55" s="97"/>
      <c r="U55" s="92"/>
      <c r="V55" s="321"/>
      <c r="W55" s="175"/>
      <c r="X55" s="99">
        <f>M55+R55+W55</f>
        <v>0</v>
      </c>
      <c r="Y55" s="100"/>
      <c r="Z55" s="165" t="s">
        <v>99</v>
      </c>
      <c r="AA55" s="102"/>
      <c r="AB55" s="129">
        <f>G55-F55</f>
        <v>0.09000000000000008</v>
      </c>
      <c r="AC55" s="129"/>
      <c r="AD55" s="532" t="s">
        <v>104</v>
      </c>
      <c r="AE55" s="533"/>
      <c r="AF55" s="533"/>
      <c r="AG55" s="103"/>
      <c r="AH55" s="104"/>
      <c r="AI55" s="197"/>
      <c r="AJ55" s="102"/>
      <c r="AK55" s="102"/>
      <c r="AL55" s="102"/>
      <c r="AM55" s="102"/>
      <c r="AN55" s="102"/>
      <c r="AO55" s="102"/>
      <c r="AP55" s="102"/>
      <c r="AQ55" s="126"/>
      <c r="AR55" s="106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</row>
    <row r="56" spans="1:44" s="102" customFormat="1" ht="23.25" customHeight="1" thickBot="1">
      <c r="A56" s="87" t="s">
        <v>55</v>
      </c>
      <c r="B56" s="88">
        <v>5</v>
      </c>
      <c r="C56" s="87" t="s">
        <v>105</v>
      </c>
      <c r="D56" s="89">
        <v>1.58</v>
      </c>
      <c r="E56" s="89">
        <v>1.25</v>
      </c>
      <c r="F56" s="89">
        <v>1.55</v>
      </c>
      <c r="G56" s="89">
        <v>1.25</v>
      </c>
      <c r="H56" s="90">
        <v>0.21</v>
      </c>
      <c r="I56" s="91">
        <v>6</v>
      </c>
      <c r="J56" s="107"/>
      <c r="K56" s="107"/>
      <c r="L56" s="107"/>
      <c r="M56" s="107"/>
      <c r="N56" s="93"/>
      <c r="O56" s="146"/>
      <c r="P56" s="107"/>
      <c r="Q56" s="107"/>
      <c r="R56" s="107"/>
      <c r="S56" s="139"/>
      <c r="T56" s="97"/>
      <c r="U56" s="92"/>
      <c r="V56" s="107"/>
      <c r="W56" s="92"/>
      <c r="X56" s="99">
        <f>M56+R56+W57</f>
        <v>0</v>
      </c>
      <c r="Y56" s="100"/>
      <c r="Z56" s="101" t="s">
        <v>99</v>
      </c>
      <c r="AD56" s="528" t="s">
        <v>45</v>
      </c>
      <c r="AE56" s="529"/>
      <c r="AF56" s="529"/>
      <c r="AG56" s="149">
        <f>_xlfn.COUNTIFS(A294:A299,"สมุทรสาคร",B294:B299,"&gt;0")</f>
        <v>6</v>
      </c>
      <c r="AH56" s="104" t="s">
        <v>46</v>
      </c>
      <c r="AI56" s="199"/>
      <c r="AJ56" s="134"/>
      <c r="AQ56" s="123">
        <v>0.15</v>
      </c>
      <c r="AR56" s="124">
        <v>4</v>
      </c>
    </row>
    <row r="57" spans="1:54" s="157" customFormat="1" ht="23.25" customHeight="1" thickBot="1">
      <c r="A57" s="87" t="s">
        <v>55</v>
      </c>
      <c r="B57" s="108">
        <v>6</v>
      </c>
      <c r="C57" s="87" t="s">
        <v>106</v>
      </c>
      <c r="D57" s="89">
        <v>1.65</v>
      </c>
      <c r="E57" s="89">
        <v>1.35</v>
      </c>
      <c r="F57" s="89">
        <v>1.58</v>
      </c>
      <c r="G57" s="89">
        <v>1.31</v>
      </c>
      <c r="H57" s="90">
        <v>1</v>
      </c>
      <c r="I57" s="91">
        <v>6</v>
      </c>
      <c r="J57" s="107"/>
      <c r="K57" s="107"/>
      <c r="L57" s="107"/>
      <c r="M57" s="107"/>
      <c r="N57" s="131">
        <v>3</v>
      </c>
      <c r="O57" s="94">
        <v>5</v>
      </c>
      <c r="P57" s="107">
        <v>3</v>
      </c>
      <c r="Q57" s="107">
        <v>23</v>
      </c>
      <c r="R57" s="92">
        <f>745200/1000000</f>
        <v>0.7452</v>
      </c>
      <c r="S57" s="96">
        <v>3</v>
      </c>
      <c r="T57" s="97">
        <v>6</v>
      </c>
      <c r="U57" s="107"/>
      <c r="V57" s="107"/>
      <c r="W57" s="107"/>
      <c r="X57" s="99">
        <f>M57+R57+W57</f>
        <v>0.7452</v>
      </c>
      <c r="Y57" s="100" t="s">
        <v>407</v>
      </c>
      <c r="Z57" s="165"/>
      <c r="AA57" s="102"/>
      <c r="AD57" s="111" t="s">
        <v>48</v>
      </c>
      <c r="AE57" s="112"/>
      <c r="AF57" s="112"/>
      <c r="AG57" s="149">
        <f>_xlfn.SUMIFS(O294:O299,A294:A299,"สมุทรสาคร",O294:O299,"&gt;0")</f>
        <v>0</v>
      </c>
      <c r="AH57" s="103" t="s">
        <v>30</v>
      </c>
      <c r="AI57" s="150">
        <f>_xlfn.COUNTIFS(A219:A305,"สมุทรสาคร",O219:O305,"&gt;0")</f>
        <v>0</v>
      </c>
      <c r="AJ57" s="148" t="s">
        <v>46</v>
      </c>
      <c r="AK57" s="102"/>
      <c r="AL57" s="102"/>
      <c r="AM57" s="102"/>
      <c r="AN57" s="102"/>
      <c r="AO57" s="102"/>
      <c r="AP57" s="102"/>
      <c r="AQ57" s="105"/>
      <c r="AR57" s="106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</row>
    <row r="58" spans="1:44" s="102" customFormat="1" ht="23.25" customHeight="1">
      <c r="A58" s="87" t="s">
        <v>55</v>
      </c>
      <c r="B58" s="88">
        <v>7</v>
      </c>
      <c r="C58" s="87" t="s">
        <v>107</v>
      </c>
      <c r="D58" s="89">
        <v>1.62</v>
      </c>
      <c r="E58" s="89">
        <v>1.25</v>
      </c>
      <c r="F58" s="89">
        <v>1.5</v>
      </c>
      <c r="G58" s="89">
        <v>1.22</v>
      </c>
      <c r="H58" s="90">
        <v>1</v>
      </c>
      <c r="I58" s="91">
        <v>6</v>
      </c>
      <c r="J58" s="107"/>
      <c r="K58" s="107"/>
      <c r="L58" s="107"/>
      <c r="M58" s="107"/>
      <c r="N58" s="131">
        <v>3</v>
      </c>
      <c r="O58" s="94">
        <v>4</v>
      </c>
      <c r="P58" s="107">
        <v>3</v>
      </c>
      <c r="Q58" s="107">
        <v>16</v>
      </c>
      <c r="R58" s="92">
        <f>518400/1000000</f>
        <v>0.5184</v>
      </c>
      <c r="S58" s="96">
        <v>3</v>
      </c>
      <c r="T58" s="97">
        <v>4</v>
      </c>
      <c r="U58" s="107"/>
      <c r="V58" s="107"/>
      <c r="W58" s="107"/>
      <c r="X58" s="99">
        <f>M58+R58+W58</f>
        <v>0.5184</v>
      </c>
      <c r="Y58" s="100" t="s">
        <v>407</v>
      </c>
      <c r="Z58" s="101" t="s">
        <v>99</v>
      </c>
      <c r="AA58" s="176"/>
      <c r="AB58" s="129"/>
      <c r="AC58" s="179"/>
      <c r="AD58" s="111" t="s">
        <v>50</v>
      </c>
      <c r="AE58" s="112"/>
      <c r="AF58" s="112"/>
      <c r="AG58" s="149">
        <f>_xlfn.SUMIFS(T294:T299,A294:A299,"สมุทรสาคร",S294:S299,"&gt;0")</f>
        <v>0</v>
      </c>
      <c r="AH58" s="104" t="s">
        <v>30</v>
      </c>
      <c r="AQ58" s="177"/>
      <c r="AR58" s="200"/>
    </row>
    <row r="59" spans="1:54" s="102" customFormat="1" ht="23.25" customHeight="1" thickBot="1">
      <c r="A59" s="87" t="s">
        <v>55</v>
      </c>
      <c r="B59" s="88">
        <v>8</v>
      </c>
      <c r="C59" s="87" t="s">
        <v>108</v>
      </c>
      <c r="D59" s="201">
        <v>1.62</v>
      </c>
      <c r="E59" s="89">
        <v>1.25</v>
      </c>
      <c r="F59" s="89">
        <v>1.49</v>
      </c>
      <c r="G59" s="89">
        <v>1.24</v>
      </c>
      <c r="H59" s="90">
        <v>1</v>
      </c>
      <c r="I59" s="91">
        <v>6</v>
      </c>
      <c r="J59" s="107"/>
      <c r="K59" s="107"/>
      <c r="L59" s="107"/>
      <c r="M59" s="107"/>
      <c r="N59" s="93"/>
      <c r="O59" s="146"/>
      <c r="P59" s="107"/>
      <c r="Q59" s="107"/>
      <c r="R59" s="107"/>
      <c r="S59" s="139"/>
      <c r="T59" s="97"/>
      <c r="U59" s="92"/>
      <c r="V59" s="107"/>
      <c r="W59" s="324"/>
      <c r="X59" s="99">
        <f>M59+R59+W59</f>
        <v>0</v>
      </c>
      <c r="Y59" s="100"/>
      <c r="Z59" s="101" t="s">
        <v>99</v>
      </c>
      <c r="AA59" s="202"/>
      <c r="AB59" s="129">
        <f>G59-F59</f>
        <v>-0.25</v>
      </c>
      <c r="AC59" s="179">
        <f>+G59</f>
        <v>1.24</v>
      </c>
      <c r="AD59" s="142" t="s">
        <v>52</v>
      </c>
      <c r="AE59" s="203"/>
      <c r="AF59" s="203"/>
      <c r="AG59" s="204">
        <f>SUMIF(A294:A299,"สมุทรสาคร",X294:X299)</f>
        <v>0</v>
      </c>
      <c r="AH59" s="205" t="s">
        <v>53</v>
      </c>
      <c r="AI59" s="206"/>
      <c r="AJ59" s="206"/>
      <c r="AK59" s="206"/>
      <c r="AL59" s="206"/>
      <c r="AM59" s="206"/>
      <c r="AN59" s="206"/>
      <c r="AO59" s="206"/>
      <c r="AP59" s="206"/>
      <c r="AQ59" s="141">
        <v>3</v>
      </c>
      <c r="AR59" s="207">
        <v>2</v>
      </c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</row>
    <row r="60" spans="1:44" s="102" customFormat="1" ht="23.25" customHeight="1">
      <c r="A60" s="87" t="s">
        <v>55</v>
      </c>
      <c r="B60" s="88">
        <v>9</v>
      </c>
      <c r="C60" s="87" t="s">
        <v>109</v>
      </c>
      <c r="D60" s="89">
        <v>1.62</v>
      </c>
      <c r="E60" s="89">
        <v>1.28</v>
      </c>
      <c r="F60" s="89">
        <v>1.35</v>
      </c>
      <c r="G60" s="89">
        <v>1.25</v>
      </c>
      <c r="H60" s="90">
        <v>1</v>
      </c>
      <c r="I60" s="91">
        <v>6</v>
      </c>
      <c r="J60" s="107"/>
      <c r="K60" s="107"/>
      <c r="L60" s="107"/>
      <c r="M60" s="107"/>
      <c r="N60" s="93"/>
      <c r="O60" s="146"/>
      <c r="P60" s="107"/>
      <c r="Q60" s="107"/>
      <c r="R60" s="107"/>
      <c r="S60" s="96"/>
      <c r="T60" s="97"/>
      <c r="U60" s="107"/>
      <c r="V60" s="107"/>
      <c r="W60" s="107"/>
      <c r="X60" s="99">
        <f>M60+R60+W60</f>
        <v>0</v>
      </c>
      <c r="Y60" s="100"/>
      <c r="Z60" s="101" t="s">
        <v>99</v>
      </c>
      <c r="AB60" s="129">
        <f>G60-F60</f>
        <v>-0.10000000000000009</v>
      </c>
      <c r="AC60" s="179">
        <f>+G60</f>
        <v>1.25</v>
      </c>
      <c r="AQ60" s="123">
        <v>1</v>
      </c>
      <c r="AR60" s="208">
        <v>2</v>
      </c>
    </row>
    <row r="61" spans="1:44" s="102" customFormat="1" ht="23.25" customHeight="1">
      <c r="A61" s="87"/>
      <c r="B61" s="88"/>
      <c r="C61" s="209"/>
      <c r="D61" s="89"/>
      <c r="E61" s="89"/>
      <c r="F61" s="89"/>
      <c r="G61" s="89"/>
      <c r="H61" s="90"/>
      <c r="I61" s="91"/>
      <c r="J61" s="107"/>
      <c r="K61" s="107"/>
      <c r="L61" s="107"/>
      <c r="M61" s="107"/>
      <c r="N61" s="93"/>
      <c r="O61" s="146"/>
      <c r="P61" s="107"/>
      <c r="Q61" s="107"/>
      <c r="R61" s="107"/>
      <c r="S61" s="96"/>
      <c r="T61" s="97"/>
      <c r="U61" s="107"/>
      <c r="V61" s="107"/>
      <c r="W61" s="107"/>
      <c r="X61" s="99"/>
      <c r="Y61" s="100"/>
      <c r="Z61" s="101"/>
      <c r="AQ61" s="210">
        <v>0</v>
      </c>
      <c r="AR61" s="210">
        <v>0</v>
      </c>
    </row>
    <row r="62" spans="1:44" s="102" customFormat="1" ht="48" customHeight="1">
      <c r="A62" s="511" t="s">
        <v>110</v>
      </c>
      <c r="B62" s="512"/>
      <c r="C62" s="183"/>
      <c r="D62" s="184"/>
      <c r="E62" s="184"/>
      <c r="F62" s="184"/>
      <c r="G62" s="184"/>
      <c r="H62" s="185"/>
      <c r="I62" s="186"/>
      <c r="J62" s="186"/>
      <c r="K62" s="186"/>
      <c r="L62" s="187"/>
      <c r="M62" s="188">
        <f>SUM(M63:M79)</f>
        <v>0.64386</v>
      </c>
      <c r="N62" s="186"/>
      <c r="O62" s="189">
        <f>SUM(O63:O79)</f>
        <v>32</v>
      </c>
      <c r="P62" s="192">
        <f>SUM(P63:P79)</f>
        <v>2</v>
      </c>
      <c r="Q62" s="211"/>
      <c r="R62" s="188">
        <f>SUM(R63:R79)</f>
        <v>1.0368</v>
      </c>
      <c r="S62" s="186"/>
      <c r="T62" s="189">
        <f>SUM(T63:T79)</f>
        <v>30</v>
      </c>
      <c r="U62" s="192">
        <f>SUM(U63:U79)</f>
        <v>0</v>
      </c>
      <c r="V62" s="212"/>
      <c r="W62" s="188">
        <f>SUM(W63:W79)</f>
        <v>0</v>
      </c>
      <c r="X62" s="193">
        <f>SUM(X63:X79)</f>
        <v>1.68066</v>
      </c>
      <c r="Y62" s="497"/>
      <c r="Z62" s="194"/>
      <c r="AA62" s="176">
        <f>+M62+R62+W62</f>
        <v>1.68066</v>
      </c>
      <c r="AQ62" s="126"/>
      <c r="AR62" s="127"/>
    </row>
    <row r="63" spans="1:54" s="206" customFormat="1" ht="30.75" thickBot="1">
      <c r="A63" s="87" t="s">
        <v>111</v>
      </c>
      <c r="B63" s="88">
        <v>1</v>
      </c>
      <c r="C63" s="87" t="s">
        <v>112</v>
      </c>
      <c r="D63" s="214">
        <v>0.7</v>
      </c>
      <c r="E63" s="214">
        <v>1.52</v>
      </c>
      <c r="F63" s="214">
        <v>0.63</v>
      </c>
      <c r="G63" s="214">
        <v>1.25</v>
      </c>
      <c r="H63" s="90">
        <v>1</v>
      </c>
      <c r="I63" s="91">
        <v>6</v>
      </c>
      <c r="J63" s="92"/>
      <c r="K63" s="107"/>
      <c r="L63" s="92"/>
      <c r="M63" s="175"/>
      <c r="N63" s="131">
        <v>6</v>
      </c>
      <c r="O63" s="94">
        <v>4</v>
      </c>
      <c r="P63" s="92">
        <v>2</v>
      </c>
      <c r="Q63" s="92">
        <v>48</v>
      </c>
      <c r="R63" s="92">
        <f>1036800/1000000</f>
        <v>1.0368</v>
      </c>
      <c r="S63" s="96">
        <v>3</v>
      </c>
      <c r="T63" s="97">
        <v>4</v>
      </c>
      <c r="U63" s="107"/>
      <c r="V63" s="107"/>
      <c r="W63" s="107"/>
      <c r="X63" s="99">
        <f aca="true" t="shared" si="1" ref="X63:X76">+M63+R63+W63</f>
        <v>1.0368</v>
      </c>
      <c r="Y63" s="100" t="s">
        <v>407</v>
      </c>
      <c r="Z63" s="215" t="s">
        <v>113</v>
      </c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26"/>
      <c r="AR63" s="127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</row>
    <row r="64" spans="1:44" s="102" customFormat="1" ht="30.75" thickBot="1">
      <c r="A64" s="87" t="s">
        <v>111</v>
      </c>
      <c r="B64" s="216">
        <v>2</v>
      </c>
      <c r="C64" s="87" t="s">
        <v>114</v>
      </c>
      <c r="D64" s="217">
        <v>1.05</v>
      </c>
      <c r="E64" s="217">
        <v>1.58</v>
      </c>
      <c r="F64" s="217">
        <v>1.03</v>
      </c>
      <c r="G64" s="217">
        <v>1.26</v>
      </c>
      <c r="H64" s="90">
        <v>1</v>
      </c>
      <c r="I64" s="91">
        <v>4</v>
      </c>
      <c r="J64" s="92"/>
      <c r="K64" s="107"/>
      <c r="L64" s="92"/>
      <c r="M64" s="175"/>
      <c r="N64" s="131">
        <v>1</v>
      </c>
      <c r="O64" s="94">
        <v>2</v>
      </c>
      <c r="P64" s="92"/>
      <c r="Q64" s="92"/>
      <c r="R64" s="92"/>
      <c r="S64" s="96">
        <v>3</v>
      </c>
      <c r="T64" s="97">
        <v>3</v>
      </c>
      <c r="U64" s="107"/>
      <c r="V64" s="107"/>
      <c r="W64" s="92"/>
      <c r="X64" s="99">
        <f t="shared" si="1"/>
        <v>0</v>
      </c>
      <c r="Y64" s="100"/>
      <c r="Z64" s="101" t="s">
        <v>113</v>
      </c>
      <c r="AD64" s="566" t="s">
        <v>115</v>
      </c>
      <c r="AE64" s="567"/>
      <c r="AF64" s="567"/>
      <c r="AG64" s="567"/>
      <c r="AH64" s="568"/>
      <c r="AQ64" s="123">
        <v>3</v>
      </c>
      <c r="AR64" s="208">
        <v>2</v>
      </c>
    </row>
    <row r="65" spans="1:44" s="102" customFormat="1" ht="30">
      <c r="A65" s="87" t="s">
        <v>111</v>
      </c>
      <c r="B65" s="216">
        <v>3</v>
      </c>
      <c r="C65" s="87" t="s">
        <v>116</v>
      </c>
      <c r="D65" s="217">
        <v>1.01</v>
      </c>
      <c r="E65" s="217">
        <v>1.57</v>
      </c>
      <c r="F65" s="217">
        <v>1</v>
      </c>
      <c r="G65" s="217">
        <v>1.13</v>
      </c>
      <c r="H65" s="90">
        <v>1</v>
      </c>
      <c r="I65" s="91">
        <v>4</v>
      </c>
      <c r="J65" s="92"/>
      <c r="K65" s="107"/>
      <c r="L65" s="92"/>
      <c r="M65" s="175"/>
      <c r="N65" s="131">
        <v>1</v>
      </c>
      <c r="O65" s="94">
        <v>2</v>
      </c>
      <c r="P65" s="92"/>
      <c r="Q65" s="92"/>
      <c r="R65" s="92"/>
      <c r="S65" s="96">
        <v>3</v>
      </c>
      <c r="T65" s="97">
        <v>3</v>
      </c>
      <c r="U65" s="107"/>
      <c r="V65" s="107"/>
      <c r="W65" s="107"/>
      <c r="X65" s="99">
        <f t="shared" si="1"/>
        <v>0</v>
      </c>
      <c r="Y65" s="100"/>
      <c r="Z65" s="101" t="s">
        <v>113</v>
      </c>
      <c r="AD65" s="569" t="s">
        <v>43</v>
      </c>
      <c r="AE65" s="570"/>
      <c r="AF65" s="570"/>
      <c r="AG65" s="570"/>
      <c r="AH65" s="571"/>
      <c r="AQ65" s="123">
        <v>1</v>
      </c>
      <c r="AR65" s="208">
        <v>1</v>
      </c>
    </row>
    <row r="66" spans="1:44" s="102" customFormat="1" ht="30.75" thickBot="1">
      <c r="A66" s="87" t="s">
        <v>111</v>
      </c>
      <c r="B66" s="216">
        <v>4</v>
      </c>
      <c r="C66" s="87" t="s">
        <v>117</v>
      </c>
      <c r="D66" s="217">
        <v>1.04</v>
      </c>
      <c r="E66" s="217">
        <v>1.47</v>
      </c>
      <c r="F66" s="217">
        <v>1.03</v>
      </c>
      <c r="G66" s="217">
        <v>1.13</v>
      </c>
      <c r="H66" s="90">
        <v>1</v>
      </c>
      <c r="I66" s="91">
        <v>4</v>
      </c>
      <c r="J66" s="92"/>
      <c r="K66" s="107"/>
      <c r="L66" s="92"/>
      <c r="M66" s="175"/>
      <c r="N66" s="93"/>
      <c r="O66" s="94"/>
      <c r="P66" s="92"/>
      <c r="Q66" s="92"/>
      <c r="R66" s="92"/>
      <c r="S66" s="139"/>
      <c r="T66" s="97"/>
      <c r="U66" s="92"/>
      <c r="V66" s="107"/>
      <c r="W66" s="107"/>
      <c r="X66" s="99">
        <f t="shared" si="1"/>
        <v>0</v>
      </c>
      <c r="Y66" s="100"/>
      <c r="Z66" s="101" t="s">
        <v>113</v>
      </c>
      <c r="AD66" s="572" t="s">
        <v>45</v>
      </c>
      <c r="AE66" s="529"/>
      <c r="AF66" s="529"/>
      <c r="AG66" s="149">
        <f>SUM(AG11,AG24,AG37,AG49)</f>
        <v>74</v>
      </c>
      <c r="AH66" s="219" t="s">
        <v>46</v>
      </c>
      <c r="AQ66" s="126"/>
      <c r="AR66" s="127"/>
    </row>
    <row r="67" spans="1:44" s="102" customFormat="1" ht="30.75" thickBot="1">
      <c r="A67" s="87" t="s">
        <v>111</v>
      </c>
      <c r="B67" s="216">
        <v>5</v>
      </c>
      <c r="C67" s="87" t="s">
        <v>118</v>
      </c>
      <c r="D67" s="217">
        <v>0.64</v>
      </c>
      <c r="E67" s="217">
        <v>1.45</v>
      </c>
      <c r="F67" s="217">
        <v>0.68</v>
      </c>
      <c r="G67" s="217">
        <v>0.47</v>
      </c>
      <c r="H67" s="90">
        <v>1</v>
      </c>
      <c r="I67" s="91">
        <v>4</v>
      </c>
      <c r="J67" s="92">
        <v>1</v>
      </c>
      <c r="K67" s="107">
        <v>1</v>
      </c>
      <c r="L67" s="92">
        <v>5</v>
      </c>
      <c r="M67" s="175">
        <f>135540/1000000</f>
        <v>0.13554</v>
      </c>
      <c r="N67" s="131">
        <v>3</v>
      </c>
      <c r="O67" s="94">
        <v>4</v>
      </c>
      <c r="P67" s="92"/>
      <c r="Q67" s="92"/>
      <c r="R67" s="92"/>
      <c r="S67" s="220"/>
      <c r="T67" s="221"/>
      <c r="U67" s="491"/>
      <c r="V67" s="491"/>
      <c r="W67" s="107"/>
      <c r="X67" s="99">
        <f t="shared" si="1"/>
        <v>0.13554</v>
      </c>
      <c r="Y67" s="100" t="s">
        <v>407</v>
      </c>
      <c r="Z67" s="101" t="s">
        <v>113</v>
      </c>
      <c r="AD67" s="218" t="s">
        <v>48</v>
      </c>
      <c r="AE67" s="112"/>
      <c r="AF67" s="112"/>
      <c r="AG67" s="149">
        <f>SUM(AG12,AG25,AG38,AG50)</f>
        <v>132</v>
      </c>
      <c r="AH67" s="103" t="s">
        <v>30</v>
      </c>
      <c r="AI67" s="222">
        <f>SUM(AI12,AI25,AI38,AI50)</f>
        <v>35</v>
      </c>
      <c r="AJ67" s="223" t="s">
        <v>46</v>
      </c>
      <c r="AQ67" s="105"/>
      <c r="AR67" s="127"/>
    </row>
    <row r="68" spans="1:44" s="102" customFormat="1" ht="30">
      <c r="A68" s="87" t="s">
        <v>111</v>
      </c>
      <c r="B68" s="216">
        <v>6</v>
      </c>
      <c r="C68" s="87" t="s">
        <v>119</v>
      </c>
      <c r="D68" s="217">
        <v>0.63</v>
      </c>
      <c r="E68" s="217">
        <v>1.48</v>
      </c>
      <c r="F68" s="217">
        <v>0.66</v>
      </c>
      <c r="G68" s="217">
        <v>0.5</v>
      </c>
      <c r="H68" s="90">
        <v>1</v>
      </c>
      <c r="I68" s="91">
        <v>8</v>
      </c>
      <c r="J68" s="92">
        <v>1</v>
      </c>
      <c r="K68" s="107">
        <v>1</v>
      </c>
      <c r="L68" s="92">
        <v>5</v>
      </c>
      <c r="M68" s="175">
        <f>432720/1000000</f>
        <v>0.43272</v>
      </c>
      <c r="N68" s="131">
        <v>3</v>
      </c>
      <c r="O68" s="94">
        <v>4</v>
      </c>
      <c r="P68" s="92"/>
      <c r="Q68" s="92"/>
      <c r="R68" s="92"/>
      <c r="S68" s="96">
        <v>3</v>
      </c>
      <c r="T68" s="97">
        <v>4</v>
      </c>
      <c r="U68" s="107"/>
      <c r="V68" s="107"/>
      <c r="W68" s="573"/>
      <c r="X68" s="99">
        <f t="shared" si="1"/>
        <v>0.43272</v>
      </c>
      <c r="Y68" s="100" t="s">
        <v>407</v>
      </c>
      <c r="Z68" s="101" t="s">
        <v>113</v>
      </c>
      <c r="AD68" s="218" t="s">
        <v>50</v>
      </c>
      <c r="AE68" s="112"/>
      <c r="AF68" s="112"/>
      <c r="AG68" s="149">
        <f>SUM(AG13,AG26,AG39,AG51)</f>
        <v>83</v>
      </c>
      <c r="AH68" s="219" t="s">
        <v>30</v>
      </c>
      <c r="AQ68" s="105"/>
      <c r="AR68" s="127"/>
    </row>
    <row r="69" spans="1:44" s="102" customFormat="1" ht="30">
      <c r="A69" s="87"/>
      <c r="B69" s="216"/>
      <c r="C69" s="87"/>
      <c r="D69" s="201"/>
      <c r="E69" s="201"/>
      <c r="F69" s="201"/>
      <c r="G69" s="201"/>
      <c r="H69" s="90"/>
      <c r="I69" s="91"/>
      <c r="J69" s="92"/>
      <c r="K69" s="107"/>
      <c r="L69" s="92"/>
      <c r="M69" s="175"/>
      <c r="N69" s="131"/>
      <c r="O69" s="94"/>
      <c r="P69" s="92"/>
      <c r="Q69" s="92"/>
      <c r="R69" s="92"/>
      <c r="S69" s="96"/>
      <c r="T69" s="97"/>
      <c r="U69" s="92"/>
      <c r="V69" s="107"/>
      <c r="W69" s="574"/>
      <c r="X69" s="99">
        <f t="shared" si="1"/>
        <v>0</v>
      </c>
      <c r="Y69" s="100"/>
      <c r="Z69" s="101"/>
      <c r="AD69" s="224" t="s">
        <v>52</v>
      </c>
      <c r="AE69" s="120"/>
      <c r="AF69" s="120"/>
      <c r="AG69" s="121">
        <f>SUM(AG14,AG27,AG40,AG52)</f>
        <v>3.6020000000000003</v>
      </c>
      <c r="AH69" s="225" t="s">
        <v>53</v>
      </c>
      <c r="AQ69" s="105">
        <v>0.3</v>
      </c>
      <c r="AR69" s="127">
        <v>2</v>
      </c>
    </row>
    <row r="70" spans="1:44" s="102" customFormat="1" ht="30.75" thickBot="1">
      <c r="A70" s="87" t="s">
        <v>111</v>
      </c>
      <c r="B70" s="216">
        <v>7</v>
      </c>
      <c r="C70" s="87" t="s">
        <v>120</v>
      </c>
      <c r="D70" s="217">
        <v>0.55</v>
      </c>
      <c r="E70" s="217">
        <v>1.55</v>
      </c>
      <c r="F70" s="217">
        <v>0.59</v>
      </c>
      <c r="G70" s="217">
        <v>0.57</v>
      </c>
      <c r="H70" s="90">
        <v>1</v>
      </c>
      <c r="I70" s="91">
        <v>6</v>
      </c>
      <c r="J70" s="92">
        <v>1</v>
      </c>
      <c r="K70" s="107">
        <v>1</v>
      </c>
      <c r="L70" s="92">
        <v>5</v>
      </c>
      <c r="M70" s="175">
        <f>237600/1000000</f>
        <v>0.2376</v>
      </c>
      <c r="N70" s="131">
        <v>3</v>
      </c>
      <c r="O70" s="94">
        <v>4</v>
      </c>
      <c r="P70" s="92"/>
      <c r="Q70" s="92"/>
      <c r="R70" s="92"/>
      <c r="S70" s="139"/>
      <c r="T70" s="97"/>
      <c r="U70" s="92"/>
      <c r="V70" s="107"/>
      <c r="W70" s="107"/>
      <c r="X70" s="99">
        <f t="shared" si="1"/>
        <v>0.2376</v>
      </c>
      <c r="Y70" s="100" t="s">
        <v>407</v>
      </c>
      <c r="Z70" s="101" t="s">
        <v>113</v>
      </c>
      <c r="AD70" s="226"/>
      <c r="AE70" s="227"/>
      <c r="AF70" s="227"/>
      <c r="AG70" s="227"/>
      <c r="AH70" s="228"/>
      <c r="AQ70" s="126"/>
      <c r="AR70" s="127"/>
    </row>
    <row r="71" spans="1:44" s="102" customFormat="1" ht="30">
      <c r="A71" s="87" t="s">
        <v>111</v>
      </c>
      <c r="B71" s="216">
        <v>8</v>
      </c>
      <c r="C71" s="87" t="s">
        <v>121</v>
      </c>
      <c r="D71" s="217">
        <v>0.42</v>
      </c>
      <c r="E71" s="217">
        <v>1.5</v>
      </c>
      <c r="F71" s="217">
        <v>0.42</v>
      </c>
      <c r="G71" s="217">
        <v>0.02</v>
      </c>
      <c r="H71" s="90">
        <v>2</v>
      </c>
      <c r="I71" s="91">
        <v>6</v>
      </c>
      <c r="J71" s="92"/>
      <c r="K71" s="107"/>
      <c r="L71" s="92"/>
      <c r="M71" s="175"/>
      <c r="N71" s="131">
        <v>6</v>
      </c>
      <c r="O71" s="94">
        <v>6</v>
      </c>
      <c r="P71" s="92"/>
      <c r="Q71" s="92"/>
      <c r="R71" s="92"/>
      <c r="S71" s="96">
        <v>3</v>
      </c>
      <c r="T71" s="97">
        <v>4</v>
      </c>
      <c r="U71" s="107"/>
      <c r="V71" s="107"/>
      <c r="W71" s="107"/>
      <c r="X71" s="99">
        <f t="shared" si="1"/>
        <v>0</v>
      </c>
      <c r="Y71" s="100"/>
      <c r="Z71" s="101" t="s">
        <v>113</v>
      </c>
      <c r="AD71" s="569" t="s">
        <v>57</v>
      </c>
      <c r="AE71" s="570"/>
      <c r="AF71" s="570"/>
      <c r="AG71" s="570"/>
      <c r="AH71" s="571"/>
      <c r="AQ71" s="126"/>
      <c r="AR71" s="127"/>
    </row>
    <row r="72" spans="1:44" s="102" customFormat="1" ht="30.75" thickBot="1">
      <c r="A72" s="87" t="s">
        <v>111</v>
      </c>
      <c r="B72" s="216">
        <v>9</v>
      </c>
      <c r="C72" s="87" t="s">
        <v>122</v>
      </c>
      <c r="D72" s="217">
        <v>0.51</v>
      </c>
      <c r="E72" s="217">
        <v>1.2</v>
      </c>
      <c r="F72" s="217">
        <v>0.51</v>
      </c>
      <c r="G72" s="217">
        <v>-0.3</v>
      </c>
      <c r="H72" s="90">
        <v>1</v>
      </c>
      <c r="I72" s="91">
        <v>4</v>
      </c>
      <c r="J72" s="92"/>
      <c r="K72" s="107"/>
      <c r="L72" s="92"/>
      <c r="M72" s="175"/>
      <c r="N72" s="93"/>
      <c r="O72" s="146"/>
      <c r="P72" s="92"/>
      <c r="Q72" s="92"/>
      <c r="R72" s="92"/>
      <c r="S72" s="96">
        <v>3</v>
      </c>
      <c r="T72" s="97">
        <v>2</v>
      </c>
      <c r="U72" s="107"/>
      <c r="V72" s="107"/>
      <c r="W72" s="107"/>
      <c r="X72" s="99">
        <f t="shared" si="1"/>
        <v>0</v>
      </c>
      <c r="Y72" s="100"/>
      <c r="Z72" s="101" t="s">
        <v>113</v>
      </c>
      <c r="AD72" s="572" t="s">
        <v>45</v>
      </c>
      <c r="AE72" s="529"/>
      <c r="AF72" s="529"/>
      <c r="AG72" s="149">
        <f>SUM(AG17,AG30,AG42)</f>
        <v>35</v>
      </c>
      <c r="AH72" s="219" t="s">
        <v>46</v>
      </c>
      <c r="AQ72" s="105"/>
      <c r="AR72" s="127"/>
    </row>
    <row r="73" spans="1:44" s="102" customFormat="1" ht="30.75" thickBot="1">
      <c r="A73" s="87" t="s">
        <v>111</v>
      </c>
      <c r="B73" s="216">
        <v>10</v>
      </c>
      <c r="C73" s="87" t="s">
        <v>123</v>
      </c>
      <c r="D73" s="217">
        <v>0.52</v>
      </c>
      <c r="E73" s="217">
        <v>1.25</v>
      </c>
      <c r="F73" s="217">
        <v>0.53</v>
      </c>
      <c r="G73" s="217">
        <v>-0.25</v>
      </c>
      <c r="H73" s="90">
        <v>1</v>
      </c>
      <c r="I73" s="91">
        <v>4</v>
      </c>
      <c r="J73" s="92"/>
      <c r="K73" s="107"/>
      <c r="L73" s="92"/>
      <c r="M73" s="175"/>
      <c r="N73" s="93"/>
      <c r="O73" s="146"/>
      <c r="P73" s="92"/>
      <c r="Q73" s="92"/>
      <c r="R73" s="92"/>
      <c r="S73" s="96">
        <v>3</v>
      </c>
      <c r="T73" s="97">
        <v>2</v>
      </c>
      <c r="U73" s="107"/>
      <c r="V73" s="107"/>
      <c r="W73" s="107"/>
      <c r="X73" s="99">
        <f t="shared" si="1"/>
        <v>0</v>
      </c>
      <c r="Y73" s="100"/>
      <c r="Z73" s="101" t="s">
        <v>113</v>
      </c>
      <c r="AA73" s="114"/>
      <c r="AD73" s="218" t="s">
        <v>48</v>
      </c>
      <c r="AE73" s="112"/>
      <c r="AF73" s="112"/>
      <c r="AG73" s="149">
        <f>SUM(AG18,AG31,AG43)</f>
        <v>57</v>
      </c>
      <c r="AH73" s="103" t="s">
        <v>30</v>
      </c>
      <c r="AI73" s="229">
        <f>SUM(AI18,AI31,AI43)</f>
        <v>49</v>
      </c>
      <c r="AJ73" s="223" t="s">
        <v>46</v>
      </c>
      <c r="AQ73" s="177"/>
      <c r="AR73" s="178"/>
    </row>
    <row r="74" spans="1:44" s="102" customFormat="1" ht="30">
      <c r="A74" s="87" t="s">
        <v>111</v>
      </c>
      <c r="B74" s="216">
        <v>11</v>
      </c>
      <c r="C74" s="87" t="s">
        <v>124</v>
      </c>
      <c r="D74" s="217">
        <v>0.58</v>
      </c>
      <c r="E74" s="217">
        <v>1.53</v>
      </c>
      <c r="F74" s="217">
        <v>0.52</v>
      </c>
      <c r="G74" s="217">
        <v>-0.34</v>
      </c>
      <c r="H74" s="90">
        <v>1</v>
      </c>
      <c r="I74" s="91">
        <v>4</v>
      </c>
      <c r="J74" s="92"/>
      <c r="K74" s="107"/>
      <c r="L74" s="92"/>
      <c r="M74" s="175"/>
      <c r="N74" s="93"/>
      <c r="O74" s="146"/>
      <c r="P74" s="92"/>
      <c r="Q74" s="92"/>
      <c r="R74" s="92"/>
      <c r="S74" s="96">
        <v>3</v>
      </c>
      <c r="T74" s="97">
        <v>2</v>
      </c>
      <c r="U74" s="107"/>
      <c r="V74" s="107"/>
      <c r="W74" s="107"/>
      <c r="X74" s="99">
        <f t="shared" si="1"/>
        <v>0</v>
      </c>
      <c r="Y74" s="100"/>
      <c r="Z74" s="101" t="s">
        <v>113</v>
      </c>
      <c r="AB74" s="114"/>
      <c r="AD74" s="218" t="s">
        <v>50</v>
      </c>
      <c r="AE74" s="112"/>
      <c r="AF74" s="112"/>
      <c r="AG74" s="149">
        <f>SUM(AG19,AG32,AG44)</f>
        <v>33</v>
      </c>
      <c r="AH74" s="219" t="s">
        <v>30</v>
      </c>
      <c r="AQ74" s="126"/>
      <c r="AR74" s="127"/>
    </row>
    <row r="75" spans="1:54" s="102" customFormat="1" ht="30.75" thickBot="1">
      <c r="A75" s="87" t="s">
        <v>111</v>
      </c>
      <c r="B75" s="216">
        <v>12</v>
      </c>
      <c r="C75" s="87" t="s">
        <v>125</v>
      </c>
      <c r="D75" s="230">
        <v>0.3</v>
      </c>
      <c r="E75" s="217">
        <v>1.23</v>
      </c>
      <c r="F75" s="217">
        <v>0.3</v>
      </c>
      <c r="G75" s="217">
        <v>0.2</v>
      </c>
      <c r="H75" s="90">
        <v>1</v>
      </c>
      <c r="I75" s="91">
        <v>4</v>
      </c>
      <c r="J75" s="92"/>
      <c r="K75" s="107"/>
      <c r="L75" s="92"/>
      <c r="M75" s="175"/>
      <c r="N75" s="93"/>
      <c r="O75" s="146"/>
      <c r="P75" s="92"/>
      <c r="Q75" s="92"/>
      <c r="R75" s="92"/>
      <c r="S75" s="96">
        <v>3</v>
      </c>
      <c r="T75" s="97">
        <v>2</v>
      </c>
      <c r="U75" s="107"/>
      <c r="V75" s="107"/>
      <c r="W75" s="107"/>
      <c r="X75" s="99">
        <f t="shared" si="1"/>
        <v>0</v>
      </c>
      <c r="Y75" s="100"/>
      <c r="Z75" s="101" t="s">
        <v>113</v>
      </c>
      <c r="AA75" s="202"/>
      <c r="AB75" s="206"/>
      <c r="AC75" s="206"/>
      <c r="AD75" s="142" t="s">
        <v>52</v>
      </c>
      <c r="AE75" s="203"/>
      <c r="AF75" s="203"/>
      <c r="AG75" s="204">
        <f>SUM(AG20,AG33,AG45)</f>
        <v>2.1778999355094455</v>
      </c>
      <c r="AH75" s="205" t="s">
        <v>53</v>
      </c>
      <c r="AI75" s="206"/>
      <c r="AJ75" s="206"/>
      <c r="AK75" s="206"/>
      <c r="AL75" s="206"/>
      <c r="AM75" s="206"/>
      <c r="AN75" s="206"/>
      <c r="AO75" s="206"/>
      <c r="AP75" s="206"/>
      <c r="AQ75" s="141">
        <v>3</v>
      </c>
      <c r="AR75" s="207">
        <v>2</v>
      </c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</row>
    <row r="76" spans="1:44" s="102" customFormat="1" ht="30.75" thickBot="1">
      <c r="A76" s="87" t="s">
        <v>111</v>
      </c>
      <c r="B76" s="216">
        <v>13</v>
      </c>
      <c r="C76" s="87" t="s">
        <v>129</v>
      </c>
      <c r="D76" s="217">
        <v>0.35</v>
      </c>
      <c r="E76" s="217">
        <v>1.18</v>
      </c>
      <c r="F76" s="217">
        <v>0.24</v>
      </c>
      <c r="G76" s="217">
        <v>0.15</v>
      </c>
      <c r="H76" s="90">
        <v>1</v>
      </c>
      <c r="I76" s="91">
        <v>6</v>
      </c>
      <c r="J76" s="92">
        <v>1</v>
      </c>
      <c r="K76" s="107">
        <v>1</v>
      </c>
      <c r="L76" s="92">
        <v>6</v>
      </c>
      <c r="M76" s="175">
        <f>-162000/1000000</f>
        <v>-0.162</v>
      </c>
      <c r="N76" s="131">
        <v>3</v>
      </c>
      <c r="O76" s="94">
        <v>4</v>
      </c>
      <c r="P76" s="92"/>
      <c r="Q76" s="92"/>
      <c r="R76" s="92"/>
      <c r="S76" s="96">
        <v>3</v>
      </c>
      <c r="T76" s="97">
        <v>4</v>
      </c>
      <c r="U76" s="107"/>
      <c r="V76" s="107"/>
      <c r="W76" s="107"/>
      <c r="X76" s="99">
        <f t="shared" si="1"/>
        <v>-0.162</v>
      </c>
      <c r="Y76" s="100" t="s">
        <v>408</v>
      </c>
      <c r="Z76" s="101"/>
      <c r="AD76" s="231"/>
      <c r="AE76" s="232"/>
      <c r="AF76" s="232"/>
      <c r="AG76" s="232"/>
      <c r="AH76" s="233"/>
      <c r="AQ76" s="126"/>
      <c r="AR76" s="127"/>
    </row>
    <row r="77" spans="1:44" s="102" customFormat="1" ht="30">
      <c r="A77" s="87" t="s">
        <v>111</v>
      </c>
      <c r="B77" s="216">
        <v>14</v>
      </c>
      <c r="C77" s="87" t="s">
        <v>128</v>
      </c>
      <c r="D77" s="89"/>
      <c r="E77" s="89"/>
      <c r="F77" s="89"/>
      <c r="G77" s="89"/>
      <c r="H77" s="90"/>
      <c r="I77" s="91"/>
      <c r="J77" s="175"/>
      <c r="K77" s="107"/>
      <c r="L77" s="92"/>
      <c r="M77" s="175"/>
      <c r="N77" s="131">
        <v>1</v>
      </c>
      <c r="O77" s="94">
        <v>2</v>
      </c>
      <c r="P77" s="92"/>
      <c r="Q77" s="92"/>
      <c r="R77" s="92"/>
      <c r="S77" s="96"/>
      <c r="T77" s="97"/>
      <c r="U77" s="107"/>
      <c r="V77" s="107"/>
      <c r="W77" s="107"/>
      <c r="X77" s="99">
        <f>+M77+R77+W77</f>
        <v>0</v>
      </c>
      <c r="Y77" s="100"/>
      <c r="Z77" s="101"/>
      <c r="AD77" s="569" t="s">
        <v>104</v>
      </c>
      <c r="AE77" s="570"/>
      <c r="AF77" s="570"/>
      <c r="AG77" s="234"/>
      <c r="AH77" s="235"/>
      <c r="AQ77" s="126"/>
      <c r="AR77" s="127"/>
    </row>
    <row r="78" spans="1:44" s="102" customFormat="1" ht="23.25" customHeight="1" thickBot="1">
      <c r="A78" s="87"/>
      <c r="B78" s="216"/>
      <c r="C78" s="87"/>
      <c r="D78" s="89"/>
      <c r="E78" s="89"/>
      <c r="F78" s="89"/>
      <c r="G78" s="89"/>
      <c r="H78" s="90"/>
      <c r="I78" s="91"/>
      <c r="J78" s="175"/>
      <c r="K78" s="107"/>
      <c r="L78" s="92"/>
      <c r="M78" s="175"/>
      <c r="N78" s="131"/>
      <c r="O78" s="94"/>
      <c r="P78" s="92"/>
      <c r="Q78" s="92"/>
      <c r="R78" s="92"/>
      <c r="S78" s="96"/>
      <c r="T78" s="97"/>
      <c r="U78" s="107"/>
      <c r="V78" s="107"/>
      <c r="W78" s="107"/>
      <c r="X78" s="99"/>
      <c r="Y78" s="100"/>
      <c r="Z78" s="101"/>
      <c r="AD78" s="572" t="s">
        <v>45</v>
      </c>
      <c r="AE78" s="529"/>
      <c r="AF78" s="529"/>
      <c r="AG78" s="149">
        <f>AG56</f>
        <v>6</v>
      </c>
      <c r="AH78" s="219" t="s">
        <v>46</v>
      </c>
      <c r="AQ78" s="126"/>
      <c r="AR78" s="127"/>
    </row>
    <row r="79" spans="1:44" s="102" customFormat="1" ht="23.25" customHeight="1" thickBot="1">
      <c r="A79" s="87"/>
      <c r="B79" s="216"/>
      <c r="C79" s="87"/>
      <c r="D79" s="236"/>
      <c r="E79" s="236"/>
      <c r="F79" s="236"/>
      <c r="G79" s="236"/>
      <c r="H79" s="90"/>
      <c r="I79" s="91"/>
      <c r="J79" s="107"/>
      <c r="K79" s="107"/>
      <c r="L79" s="107"/>
      <c r="M79" s="175"/>
      <c r="N79" s="131"/>
      <c r="O79" s="94"/>
      <c r="P79" s="92"/>
      <c r="Q79" s="92"/>
      <c r="R79" s="92"/>
      <c r="S79" s="96"/>
      <c r="T79" s="97"/>
      <c r="U79" s="107"/>
      <c r="V79" s="107"/>
      <c r="W79" s="107"/>
      <c r="X79" s="99"/>
      <c r="Y79" s="100"/>
      <c r="Z79" s="101" t="s">
        <v>113</v>
      </c>
      <c r="AD79" s="218" t="s">
        <v>48</v>
      </c>
      <c r="AE79" s="112"/>
      <c r="AF79" s="112"/>
      <c r="AG79" s="149">
        <f>AG57</f>
        <v>0</v>
      </c>
      <c r="AH79" s="103" t="s">
        <v>30</v>
      </c>
      <c r="AI79" s="229">
        <f>AG57</f>
        <v>0</v>
      </c>
      <c r="AJ79" s="223" t="s">
        <v>46</v>
      </c>
      <c r="AQ79" s="126"/>
      <c r="AR79" s="127"/>
    </row>
    <row r="80" spans="1:44" s="102" customFormat="1" ht="43.5" customHeight="1">
      <c r="A80" s="507" t="s">
        <v>130</v>
      </c>
      <c r="B80" s="508"/>
      <c r="C80" s="183"/>
      <c r="D80" s="184"/>
      <c r="E80" s="184"/>
      <c r="F80" s="184"/>
      <c r="G80" s="184"/>
      <c r="H80" s="185"/>
      <c r="I80" s="186"/>
      <c r="J80" s="186"/>
      <c r="K80" s="186"/>
      <c r="L80" s="187"/>
      <c r="M80" s="188">
        <f>SUM(M81:M96)</f>
        <v>1.7352</v>
      </c>
      <c r="N80" s="186"/>
      <c r="O80" s="189">
        <f>SUM(O81:O96)</f>
        <v>111</v>
      </c>
      <c r="P80" s="190">
        <f>SUM(P81:P96)</f>
        <v>44</v>
      </c>
      <c r="Q80" s="191"/>
      <c r="R80" s="188">
        <f>SUM(R81:R96)</f>
        <v>12.956399999999999</v>
      </c>
      <c r="S80" s="186"/>
      <c r="T80" s="189">
        <f>SUM(T81:T96)</f>
        <v>17</v>
      </c>
      <c r="U80" s="192">
        <f>SUM(U81:U96)</f>
        <v>0</v>
      </c>
      <c r="V80" s="191"/>
      <c r="W80" s="188">
        <f>SUM(W81:W96)</f>
        <v>0</v>
      </c>
      <c r="X80" s="193">
        <f>SUM(X81:X96)</f>
        <v>14.691599999999998</v>
      </c>
      <c r="Y80" s="497"/>
      <c r="Z80" s="194"/>
      <c r="AA80" s="114">
        <f>+M80+R80+W80</f>
        <v>14.6916</v>
      </c>
      <c r="AD80" s="218" t="s">
        <v>50</v>
      </c>
      <c r="AE80" s="112"/>
      <c r="AF80" s="112"/>
      <c r="AG80" s="149">
        <f>AG58</f>
        <v>0</v>
      </c>
      <c r="AH80" s="219" t="s">
        <v>30</v>
      </c>
      <c r="AQ80" s="126"/>
      <c r="AR80" s="127"/>
    </row>
    <row r="81" spans="1:44" s="102" customFormat="1" ht="23.25" customHeight="1">
      <c r="A81" s="87" t="s">
        <v>131</v>
      </c>
      <c r="B81" s="216">
        <v>1</v>
      </c>
      <c r="C81" s="87" t="s">
        <v>132</v>
      </c>
      <c r="D81" s="236">
        <v>-0.25</v>
      </c>
      <c r="E81" s="236">
        <v>-0.1</v>
      </c>
      <c r="F81" s="236">
        <v>0.15</v>
      </c>
      <c r="G81" s="236">
        <v>0.05</v>
      </c>
      <c r="H81" s="90">
        <v>1</v>
      </c>
      <c r="I81" s="91">
        <v>6</v>
      </c>
      <c r="J81" s="92"/>
      <c r="K81" s="107"/>
      <c r="L81" s="92"/>
      <c r="M81" s="92"/>
      <c r="N81" s="131"/>
      <c r="O81" s="94"/>
      <c r="P81" s="92"/>
      <c r="Q81" s="107"/>
      <c r="R81" s="92"/>
      <c r="S81" s="139"/>
      <c r="T81" s="97"/>
      <c r="U81" s="92"/>
      <c r="V81" s="107"/>
      <c r="W81" s="92"/>
      <c r="X81" s="99">
        <f>M81+R81+W81</f>
        <v>0</v>
      </c>
      <c r="Y81" s="100"/>
      <c r="Z81" s="101" t="s">
        <v>134</v>
      </c>
      <c r="AD81" s="224" t="s">
        <v>52</v>
      </c>
      <c r="AE81" s="120"/>
      <c r="AF81" s="120"/>
      <c r="AG81" s="237">
        <f>AG59</f>
        <v>0</v>
      </c>
      <c r="AH81" s="225" t="s">
        <v>53</v>
      </c>
      <c r="AQ81" s="126"/>
      <c r="AR81" s="127"/>
    </row>
    <row r="82" spans="1:54" s="206" customFormat="1" ht="25.5" customHeight="1" thickBot="1">
      <c r="A82" s="87" t="s">
        <v>131</v>
      </c>
      <c r="B82" s="88">
        <v>2</v>
      </c>
      <c r="C82" s="87" t="s">
        <v>135</v>
      </c>
      <c r="D82" s="236">
        <v>0.12</v>
      </c>
      <c r="E82" s="236">
        <v>0.08</v>
      </c>
      <c r="F82" s="217">
        <v>0.16</v>
      </c>
      <c r="G82" s="236">
        <v>0.03</v>
      </c>
      <c r="H82" s="90">
        <v>6</v>
      </c>
      <c r="I82" s="91">
        <v>4</v>
      </c>
      <c r="J82" s="92">
        <v>5</v>
      </c>
      <c r="K82" s="92" t="s">
        <v>133</v>
      </c>
      <c r="L82" s="92">
        <v>5</v>
      </c>
      <c r="M82" s="92">
        <v>1.665</v>
      </c>
      <c r="N82" s="131"/>
      <c r="O82" s="94"/>
      <c r="P82" s="92"/>
      <c r="Q82" s="92"/>
      <c r="R82" s="92"/>
      <c r="S82" s="96">
        <v>3</v>
      </c>
      <c r="T82" s="97">
        <v>6</v>
      </c>
      <c r="U82" s="107"/>
      <c r="V82" s="107"/>
      <c r="W82" s="107"/>
      <c r="X82" s="99">
        <f aca="true" t="shared" si="2" ref="X82:X96">M82+R82+W82</f>
        <v>1.665</v>
      </c>
      <c r="Y82" s="100"/>
      <c r="Z82" s="215" t="s">
        <v>134</v>
      </c>
      <c r="AA82" s="102"/>
      <c r="AB82" s="102"/>
      <c r="AC82" s="102"/>
      <c r="AD82" s="231"/>
      <c r="AE82" s="232"/>
      <c r="AF82" s="232"/>
      <c r="AG82" s="232"/>
      <c r="AH82" s="233"/>
      <c r="AI82" s="102"/>
      <c r="AJ82" s="102"/>
      <c r="AK82" s="102"/>
      <c r="AL82" s="102"/>
      <c r="AM82" s="102"/>
      <c r="AN82" s="102"/>
      <c r="AO82" s="102"/>
      <c r="AP82" s="102"/>
      <c r="AQ82" s="126"/>
      <c r="AR82" s="127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</row>
    <row r="83" spans="1:44" s="102" customFormat="1" ht="24.75" customHeight="1" thickBot="1">
      <c r="A83" s="87" t="s">
        <v>131</v>
      </c>
      <c r="B83" s="216">
        <v>3</v>
      </c>
      <c r="C83" s="87" t="s">
        <v>136</v>
      </c>
      <c r="D83" s="236">
        <v>0.12</v>
      </c>
      <c r="E83" s="236">
        <v>0.08</v>
      </c>
      <c r="F83" s="236">
        <v>0.16</v>
      </c>
      <c r="G83" s="236">
        <v>0.03</v>
      </c>
      <c r="H83" s="90"/>
      <c r="I83" s="91"/>
      <c r="J83" s="107"/>
      <c r="K83" s="107"/>
      <c r="L83" s="107"/>
      <c r="M83" s="107"/>
      <c r="N83" s="131">
        <v>3</v>
      </c>
      <c r="O83" s="94">
        <v>20</v>
      </c>
      <c r="P83" s="92">
        <v>12</v>
      </c>
      <c r="Q83" s="92">
        <v>19</v>
      </c>
      <c r="R83" s="92">
        <v>2.0304</v>
      </c>
      <c r="S83" s="139"/>
      <c r="T83" s="97"/>
      <c r="U83" s="92"/>
      <c r="V83" s="107"/>
      <c r="W83" s="92"/>
      <c r="X83" s="99">
        <f t="shared" si="2"/>
        <v>2.0304</v>
      </c>
      <c r="Y83" s="100"/>
      <c r="Z83" s="101" t="s">
        <v>134</v>
      </c>
      <c r="AD83" s="575" t="s">
        <v>137</v>
      </c>
      <c r="AE83" s="576"/>
      <c r="AF83" s="576"/>
      <c r="AG83" s="238">
        <f>AG69</f>
        <v>3.6020000000000003</v>
      </c>
      <c r="AH83" s="225" t="s">
        <v>53</v>
      </c>
      <c r="AQ83" s="126"/>
      <c r="AR83" s="127"/>
    </row>
    <row r="84" spans="1:51" s="102" customFormat="1" ht="23.25" customHeight="1" thickBot="1">
      <c r="A84" s="87" t="s">
        <v>131</v>
      </c>
      <c r="B84" s="216">
        <v>4</v>
      </c>
      <c r="C84" s="87" t="s">
        <v>138</v>
      </c>
      <c r="D84" s="236">
        <v>0.12</v>
      </c>
      <c r="E84" s="236">
        <v>0.08</v>
      </c>
      <c r="F84" s="236">
        <v>0.16</v>
      </c>
      <c r="G84" s="236">
        <v>0.03</v>
      </c>
      <c r="H84" s="90"/>
      <c r="I84" s="91"/>
      <c r="J84" s="107"/>
      <c r="K84" s="107"/>
      <c r="L84" s="107"/>
      <c r="M84" s="107"/>
      <c r="N84" s="131">
        <v>3</v>
      </c>
      <c r="O84" s="94">
        <v>20</v>
      </c>
      <c r="P84" s="105">
        <v>12</v>
      </c>
      <c r="Q84" s="92">
        <v>19</v>
      </c>
      <c r="R84" s="92">
        <v>2.4624</v>
      </c>
      <c r="S84" s="139"/>
      <c r="T84" s="97"/>
      <c r="U84" s="92"/>
      <c r="V84" s="107"/>
      <c r="W84" s="92"/>
      <c r="X84" s="99">
        <f t="shared" si="2"/>
        <v>2.4624</v>
      </c>
      <c r="Y84" s="100"/>
      <c r="Z84" s="101" t="s">
        <v>134</v>
      </c>
      <c r="AD84" s="577" t="s">
        <v>139</v>
      </c>
      <c r="AE84" s="578"/>
      <c r="AF84" s="578"/>
      <c r="AG84" s="239">
        <f>AG75</f>
        <v>2.1778999355094455</v>
      </c>
      <c r="AH84" s="240" t="s">
        <v>53</v>
      </c>
      <c r="AQ84" s="123"/>
      <c r="AR84" s="208"/>
      <c r="AY84" s="241"/>
    </row>
    <row r="85" spans="1:44" s="102" customFormat="1" ht="23.25" customHeight="1" thickBot="1">
      <c r="A85" s="87" t="s">
        <v>131</v>
      </c>
      <c r="B85" s="216">
        <v>5</v>
      </c>
      <c r="C85" s="87" t="s">
        <v>140</v>
      </c>
      <c r="D85" s="236">
        <v>0.12</v>
      </c>
      <c r="E85" s="236">
        <v>0.28</v>
      </c>
      <c r="F85" s="236">
        <v>0.17</v>
      </c>
      <c r="G85" s="236">
        <v>0.2</v>
      </c>
      <c r="H85" s="90"/>
      <c r="I85" s="91"/>
      <c r="J85" s="107"/>
      <c r="K85" s="107"/>
      <c r="L85" s="107"/>
      <c r="M85" s="107"/>
      <c r="N85" s="131">
        <v>3</v>
      </c>
      <c r="O85" s="94">
        <v>8</v>
      </c>
      <c r="P85" s="105">
        <v>3</v>
      </c>
      <c r="Q85" s="92">
        <v>24</v>
      </c>
      <c r="R85" s="92">
        <v>0.7776</v>
      </c>
      <c r="S85" s="139"/>
      <c r="T85" s="97"/>
      <c r="U85" s="92"/>
      <c r="V85" s="107"/>
      <c r="W85" s="92"/>
      <c r="X85" s="99">
        <f t="shared" si="2"/>
        <v>0.7776</v>
      </c>
      <c r="Y85" s="100"/>
      <c r="Z85" s="101" t="s">
        <v>134</v>
      </c>
      <c r="AD85" s="579" t="s">
        <v>142</v>
      </c>
      <c r="AE85" s="580"/>
      <c r="AF85" s="580"/>
      <c r="AG85" s="242">
        <f>AG81</f>
        <v>0</v>
      </c>
      <c r="AH85" s="243" t="s">
        <v>53</v>
      </c>
      <c r="AQ85" s="105"/>
      <c r="AR85" s="127"/>
    </row>
    <row r="86" spans="1:44" s="102" customFormat="1" ht="23.25" customHeight="1">
      <c r="A86" s="87" t="s">
        <v>131</v>
      </c>
      <c r="B86" s="216">
        <v>6</v>
      </c>
      <c r="C86" s="87" t="s">
        <v>143</v>
      </c>
      <c r="D86" s="236">
        <v>0.05</v>
      </c>
      <c r="E86" s="236" t="s">
        <v>141</v>
      </c>
      <c r="F86" s="236">
        <v>0.13</v>
      </c>
      <c r="G86" s="236" t="s">
        <v>141</v>
      </c>
      <c r="H86" s="90"/>
      <c r="I86" s="91"/>
      <c r="J86" s="107"/>
      <c r="K86" s="107"/>
      <c r="L86" s="107"/>
      <c r="M86" s="107"/>
      <c r="N86" s="131">
        <v>3</v>
      </c>
      <c r="O86" s="94">
        <v>25</v>
      </c>
      <c r="P86" s="105">
        <v>0</v>
      </c>
      <c r="Q86" s="92">
        <v>4</v>
      </c>
      <c r="R86" s="92">
        <v>0</v>
      </c>
      <c r="S86" s="139"/>
      <c r="T86" s="97"/>
      <c r="U86" s="92"/>
      <c r="V86" s="107"/>
      <c r="W86" s="92"/>
      <c r="X86" s="99">
        <f t="shared" si="2"/>
        <v>0</v>
      </c>
      <c r="Y86" s="100"/>
      <c r="Z86" s="101" t="s">
        <v>134</v>
      </c>
      <c r="AD86" s="581" t="s">
        <v>144</v>
      </c>
      <c r="AE86" s="582"/>
      <c r="AF86" s="582"/>
      <c r="AG86" s="585">
        <f>AG83+AG84+AG85</f>
        <v>5.779899935509446</v>
      </c>
      <c r="AH86" s="587" t="s">
        <v>404</v>
      </c>
      <c r="AQ86" s="105"/>
      <c r="AR86" s="127"/>
    </row>
    <row r="87" spans="1:44" s="102" customFormat="1" ht="23.25" customHeight="1" thickBot="1">
      <c r="A87" s="87" t="s">
        <v>131</v>
      </c>
      <c r="B87" s="216">
        <v>7</v>
      </c>
      <c r="C87" s="87" t="s">
        <v>145</v>
      </c>
      <c r="D87" s="236">
        <v>0.06</v>
      </c>
      <c r="E87" s="236">
        <v>1.2</v>
      </c>
      <c r="F87" s="236">
        <v>0.14</v>
      </c>
      <c r="G87" s="236">
        <v>1.2</v>
      </c>
      <c r="H87" s="90"/>
      <c r="I87" s="91"/>
      <c r="J87" s="107"/>
      <c r="K87" s="107"/>
      <c r="L87" s="107"/>
      <c r="M87" s="107"/>
      <c r="N87" s="131">
        <v>3</v>
      </c>
      <c r="O87" s="94">
        <v>8</v>
      </c>
      <c r="P87" s="105">
        <v>2</v>
      </c>
      <c r="Q87" s="92">
        <v>24</v>
      </c>
      <c r="R87" s="92">
        <v>0.5184</v>
      </c>
      <c r="S87" s="139"/>
      <c r="T87" s="97"/>
      <c r="U87" s="92"/>
      <c r="V87" s="107"/>
      <c r="W87" s="92"/>
      <c r="X87" s="99">
        <f t="shared" si="2"/>
        <v>0.5184</v>
      </c>
      <c r="Y87" s="100"/>
      <c r="Z87" s="101" t="s">
        <v>134</v>
      </c>
      <c r="AD87" s="583"/>
      <c r="AE87" s="584"/>
      <c r="AF87" s="584"/>
      <c r="AG87" s="586"/>
      <c r="AH87" s="588"/>
      <c r="AQ87" s="126"/>
      <c r="AR87" s="106"/>
    </row>
    <row r="88" spans="1:44" s="102" customFormat="1" ht="23.25" customHeight="1">
      <c r="A88" s="87" t="s">
        <v>131</v>
      </c>
      <c r="B88" s="216">
        <v>8</v>
      </c>
      <c r="C88" s="87" t="s">
        <v>146</v>
      </c>
      <c r="D88" s="236">
        <v>0.06</v>
      </c>
      <c r="E88" s="236" t="s">
        <v>141</v>
      </c>
      <c r="F88" s="236">
        <v>0.1</v>
      </c>
      <c r="G88" s="236" t="s">
        <v>141</v>
      </c>
      <c r="H88" s="90"/>
      <c r="I88" s="91"/>
      <c r="J88" s="107"/>
      <c r="K88" s="107"/>
      <c r="L88" s="107"/>
      <c r="M88" s="107"/>
      <c r="N88" s="131">
        <v>3</v>
      </c>
      <c r="O88" s="94">
        <v>8</v>
      </c>
      <c r="P88" s="105">
        <v>2</v>
      </c>
      <c r="Q88" s="92">
        <v>24</v>
      </c>
      <c r="R88" s="92">
        <v>0.5184</v>
      </c>
      <c r="S88" s="139"/>
      <c r="T88" s="97"/>
      <c r="U88" s="92"/>
      <c r="V88" s="107"/>
      <c r="W88" s="92"/>
      <c r="X88" s="99">
        <f t="shared" si="2"/>
        <v>0.5184</v>
      </c>
      <c r="Y88" s="100"/>
      <c r="Z88" s="101" t="s">
        <v>134</v>
      </c>
      <c r="AQ88" s="126"/>
      <c r="AR88" s="106"/>
    </row>
    <row r="89" spans="1:54" s="102" customFormat="1" ht="23.25" customHeight="1">
      <c r="A89" s="87" t="s">
        <v>131</v>
      </c>
      <c r="B89" s="216">
        <v>9</v>
      </c>
      <c r="C89" s="87" t="s">
        <v>147</v>
      </c>
      <c r="D89" s="236">
        <v>-0.16</v>
      </c>
      <c r="E89" s="236" t="s">
        <v>141</v>
      </c>
      <c r="F89" s="236">
        <v>0.15</v>
      </c>
      <c r="G89" s="236" t="s">
        <v>141</v>
      </c>
      <c r="H89" s="90"/>
      <c r="I89" s="91"/>
      <c r="J89" s="107"/>
      <c r="K89" s="107"/>
      <c r="L89" s="107"/>
      <c r="M89" s="107"/>
      <c r="N89" s="131">
        <v>3</v>
      </c>
      <c r="O89" s="94">
        <v>6</v>
      </c>
      <c r="P89" s="105">
        <v>3</v>
      </c>
      <c r="Q89" s="105">
        <v>17</v>
      </c>
      <c r="R89" s="92">
        <v>0.3564</v>
      </c>
      <c r="S89" s="139"/>
      <c r="T89" s="97"/>
      <c r="U89" s="92"/>
      <c r="V89" s="92"/>
      <c r="W89" s="92"/>
      <c r="X89" s="99">
        <f t="shared" si="2"/>
        <v>0.3564</v>
      </c>
      <c r="Y89" s="100"/>
      <c r="Z89" s="101" t="s">
        <v>134</v>
      </c>
      <c r="AA89" s="11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5"/>
      <c r="AR89" s="246"/>
      <c r="AS89" s="244"/>
      <c r="AT89" s="244"/>
      <c r="AU89" s="244"/>
      <c r="AV89" s="244"/>
      <c r="AW89" s="244"/>
      <c r="AX89" s="244"/>
      <c r="AY89" s="244"/>
      <c r="AZ89" s="247"/>
      <c r="BA89" s="247"/>
      <c r="BB89" s="247"/>
    </row>
    <row r="90" spans="1:54" s="102" customFormat="1" ht="23.25" customHeight="1">
      <c r="A90" s="87" t="s">
        <v>131</v>
      </c>
      <c r="B90" s="216">
        <v>10</v>
      </c>
      <c r="C90" s="87" t="s">
        <v>148</v>
      </c>
      <c r="D90" s="236">
        <v>-0.26</v>
      </c>
      <c r="E90" s="236" t="s">
        <v>141</v>
      </c>
      <c r="F90" s="236">
        <v>-0.38</v>
      </c>
      <c r="G90" s="236" t="s">
        <v>141</v>
      </c>
      <c r="H90" s="90"/>
      <c r="I90" s="91"/>
      <c r="J90" s="107"/>
      <c r="K90" s="107"/>
      <c r="L90" s="107"/>
      <c r="M90" s="107"/>
      <c r="N90" s="93">
        <v>25</v>
      </c>
      <c r="O90" s="94">
        <v>4</v>
      </c>
      <c r="P90" s="105">
        <v>3</v>
      </c>
      <c r="Q90" s="92">
        <v>24</v>
      </c>
      <c r="R90" s="92">
        <v>5.58</v>
      </c>
      <c r="S90" s="139"/>
      <c r="T90" s="97"/>
      <c r="U90" s="107"/>
      <c r="V90" s="107"/>
      <c r="W90" s="107"/>
      <c r="X90" s="99">
        <f t="shared" si="2"/>
        <v>5.58</v>
      </c>
      <c r="Y90" s="100"/>
      <c r="Z90" s="101" t="s">
        <v>134</v>
      </c>
      <c r="AA90" s="248"/>
      <c r="AB90" s="248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9">
        <v>0.15</v>
      </c>
      <c r="AR90" s="250">
        <v>5</v>
      </c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</row>
    <row r="91" spans="1:54" s="102" customFormat="1" ht="23.25" customHeight="1">
      <c r="A91" s="87" t="s">
        <v>131</v>
      </c>
      <c r="B91" s="216">
        <v>11</v>
      </c>
      <c r="C91" s="87" t="s">
        <v>149</v>
      </c>
      <c r="D91" s="89"/>
      <c r="E91" s="89"/>
      <c r="F91" s="89"/>
      <c r="G91" s="89"/>
      <c r="H91" s="90"/>
      <c r="I91" s="91"/>
      <c r="J91" s="107"/>
      <c r="K91" s="107"/>
      <c r="L91" s="107"/>
      <c r="M91" s="107"/>
      <c r="N91" s="93"/>
      <c r="O91" s="94" t="s">
        <v>229</v>
      </c>
      <c r="P91" s="92"/>
      <c r="Q91" s="107"/>
      <c r="R91" s="107"/>
      <c r="S91" s="96">
        <v>3</v>
      </c>
      <c r="T91" s="97">
        <v>1</v>
      </c>
      <c r="U91" s="107"/>
      <c r="V91" s="107"/>
      <c r="W91" s="107"/>
      <c r="X91" s="99">
        <f t="shared" si="2"/>
        <v>0</v>
      </c>
      <c r="Y91" s="100"/>
      <c r="Z91" s="101"/>
      <c r="AA91" s="244"/>
      <c r="AB91" s="251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9">
        <v>1</v>
      </c>
      <c r="AR91" s="250">
        <v>3</v>
      </c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</row>
    <row r="92" spans="1:54" s="102" customFormat="1" ht="23.25" customHeight="1">
      <c r="A92" s="87" t="s">
        <v>111</v>
      </c>
      <c r="B92" s="216">
        <v>1</v>
      </c>
      <c r="C92" s="87" t="s">
        <v>150</v>
      </c>
      <c r="D92" s="217">
        <v>0.2</v>
      </c>
      <c r="E92" s="217">
        <v>1.24</v>
      </c>
      <c r="F92" s="217">
        <v>0.16</v>
      </c>
      <c r="G92" s="217">
        <v>0.63</v>
      </c>
      <c r="H92" s="90">
        <v>1</v>
      </c>
      <c r="I92" s="91">
        <v>6</v>
      </c>
      <c r="J92" s="107"/>
      <c r="K92" s="107"/>
      <c r="L92" s="107"/>
      <c r="M92" s="107"/>
      <c r="N92" s="131">
        <v>3</v>
      </c>
      <c r="O92" s="94">
        <v>4</v>
      </c>
      <c r="P92" s="105">
        <v>2</v>
      </c>
      <c r="Q92" s="92">
        <v>0</v>
      </c>
      <c r="R92" s="92">
        <f>410400/1000000</f>
        <v>0.4104</v>
      </c>
      <c r="S92" s="96">
        <v>3</v>
      </c>
      <c r="T92" s="97">
        <v>4</v>
      </c>
      <c r="U92" s="107"/>
      <c r="V92" s="107"/>
      <c r="W92" s="107"/>
      <c r="X92" s="99">
        <f t="shared" si="2"/>
        <v>0.4104</v>
      </c>
      <c r="Y92" s="100" t="s">
        <v>407</v>
      </c>
      <c r="Z92" s="101" t="s">
        <v>134</v>
      </c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9">
        <v>3</v>
      </c>
      <c r="AR92" s="250">
        <v>11</v>
      </c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</row>
    <row r="93" spans="1:54" s="102" customFormat="1" ht="23.25" customHeight="1">
      <c r="A93" s="87" t="s">
        <v>111</v>
      </c>
      <c r="B93" s="216">
        <v>2</v>
      </c>
      <c r="C93" s="87" t="s">
        <v>151</v>
      </c>
      <c r="D93" s="217">
        <v>0.32</v>
      </c>
      <c r="E93" s="217">
        <v>1.31</v>
      </c>
      <c r="F93" s="217">
        <v>0.2</v>
      </c>
      <c r="G93" s="217">
        <v>0.5</v>
      </c>
      <c r="H93" s="90">
        <v>1</v>
      </c>
      <c r="I93" s="91">
        <v>6</v>
      </c>
      <c r="J93" s="107">
        <v>1</v>
      </c>
      <c r="K93" s="107">
        <v>1</v>
      </c>
      <c r="L93" s="107">
        <v>3</v>
      </c>
      <c r="M93" s="107">
        <f>70200/1000000</f>
        <v>0.0702</v>
      </c>
      <c r="N93" s="131">
        <v>3</v>
      </c>
      <c r="O93" s="94">
        <v>4</v>
      </c>
      <c r="P93" s="105">
        <v>3</v>
      </c>
      <c r="Q93" s="175">
        <v>8</v>
      </c>
      <c r="R93" s="175">
        <f>86400/1000000</f>
        <v>0.0864</v>
      </c>
      <c r="S93" s="96">
        <v>3</v>
      </c>
      <c r="T93" s="97">
        <v>3</v>
      </c>
      <c r="U93" s="107"/>
      <c r="V93" s="107"/>
      <c r="W93" s="107"/>
      <c r="X93" s="99">
        <f t="shared" si="2"/>
        <v>0.15660000000000002</v>
      </c>
      <c r="Y93" s="100" t="s">
        <v>407</v>
      </c>
      <c r="Z93" s="101" t="s">
        <v>134</v>
      </c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52">
        <v>3</v>
      </c>
      <c r="AR93" s="253">
        <v>15</v>
      </c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</row>
    <row r="94" spans="1:54" s="102" customFormat="1" ht="23.25" customHeight="1">
      <c r="A94" s="87" t="s">
        <v>111</v>
      </c>
      <c r="B94" s="216">
        <v>3</v>
      </c>
      <c r="C94" s="87" t="s">
        <v>152</v>
      </c>
      <c r="D94" s="217">
        <v>0.15</v>
      </c>
      <c r="E94" s="217">
        <v>1.19</v>
      </c>
      <c r="F94" s="217">
        <v>0.02</v>
      </c>
      <c r="G94" s="217">
        <v>0.52</v>
      </c>
      <c r="H94" s="90">
        <v>1</v>
      </c>
      <c r="I94" s="91">
        <v>6</v>
      </c>
      <c r="J94" s="107"/>
      <c r="K94" s="107"/>
      <c r="L94" s="107"/>
      <c r="M94" s="107"/>
      <c r="N94" s="131">
        <v>3</v>
      </c>
      <c r="O94" s="94">
        <v>4</v>
      </c>
      <c r="P94" s="105">
        <v>2</v>
      </c>
      <c r="Q94" s="175">
        <v>20</v>
      </c>
      <c r="R94" s="175">
        <f>216000/1000000</f>
        <v>0.216</v>
      </c>
      <c r="S94" s="96">
        <v>3</v>
      </c>
      <c r="T94" s="97">
        <v>3</v>
      </c>
      <c r="U94" s="107"/>
      <c r="V94" s="107"/>
      <c r="W94" s="107"/>
      <c r="X94" s="99">
        <f t="shared" si="2"/>
        <v>0.216</v>
      </c>
      <c r="Y94" s="100" t="s">
        <v>407</v>
      </c>
      <c r="Z94" s="101" t="s">
        <v>134</v>
      </c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52"/>
      <c r="AR94" s="253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</row>
    <row r="95" spans="1:54" s="102" customFormat="1" ht="23.25" customHeight="1">
      <c r="A95" s="87" t="s">
        <v>153</v>
      </c>
      <c r="B95" s="216">
        <v>1</v>
      </c>
      <c r="C95" s="87" t="s">
        <v>154</v>
      </c>
      <c r="D95" s="89"/>
      <c r="E95" s="89"/>
      <c r="F95" s="89"/>
      <c r="G95" s="89"/>
      <c r="H95" s="90">
        <v>1</v>
      </c>
      <c r="I95" s="91">
        <v>6</v>
      </c>
      <c r="J95" s="107"/>
      <c r="K95" s="107"/>
      <c r="L95" s="107"/>
      <c r="M95" s="107"/>
      <c r="N95" s="93"/>
      <c r="O95" s="146"/>
      <c r="P95" s="107"/>
      <c r="Q95" s="107"/>
      <c r="R95" s="107"/>
      <c r="S95" s="139"/>
      <c r="T95" s="97"/>
      <c r="U95" s="92"/>
      <c r="V95" s="107"/>
      <c r="W95" s="92"/>
      <c r="X95" s="99">
        <f t="shared" si="2"/>
        <v>0</v>
      </c>
      <c r="Y95" s="100"/>
      <c r="Z95" s="101" t="s">
        <v>134</v>
      </c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52"/>
      <c r="AR95" s="253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</row>
    <row r="96" spans="1:54" s="102" customFormat="1" ht="23.25" customHeight="1">
      <c r="A96" s="87" t="s">
        <v>153</v>
      </c>
      <c r="B96" s="216">
        <v>2</v>
      </c>
      <c r="C96" s="87" t="s">
        <v>155</v>
      </c>
      <c r="D96" s="89"/>
      <c r="E96" s="89"/>
      <c r="F96" s="89"/>
      <c r="G96" s="89"/>
      <c r="H96" s="90">
        <v>1</v>
      </c>
      <c r="I96" s="91">
        <v>6</v>
      </c>
      <c r="J96" s="107"/>
      <c r="K96" s="107"/>
      <c r="L96" s="107"/>
      <c r="M96" s="107"/>
      <c r="N96" s="93"/>
      <c r="O96" s="146"/>
      <c r="P96" s="107"/>
      <c r="Q96" s="107"/>
      <c r="R96" s="107"/>
      <c r="S96" s="139"/>
      <c r="T96" s="97"/>
      <c r="U96" s="92"/>
      <c r="V96" s="107"/>
      <c r="W96" s="92"/>
      <c r="X96" s="99">
        <f t="shared" si="2"/>
        <v>0</v>
      </c>
      <c r="Y96" s="100"/>
      <c r="Z96" s="101" t="s">
        <v>134</v>
      </c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52"/>
      <c r="AR96" s="253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</row>
    <row r="97" spans="1:54" s="247" customFormat="1" ht="42.75" customHeight="1">
      <c r="A97" s="509" t="s">
        <v>156</v>
      </c>
      <c r="B97" s="510"/>
      <c r="C97" s="254"/>
      <c r="D97" s="255"/>
      <c r="E97" s="255"/>
      <c r="F97" s="255"/>
      <c r="G97" s="255"/>
      <c r="H97" s="256"/>
      <c r="I97" s="257"/>
      <c r="J97" s="258"/>
      <c r="K97" s="258"/>
      <c r="L97" s="259"/>
      <c r="M97" s="258">
        <f>SUM(M98:M117)</f>
        <v>1.302048</v>
      </c>
      <c r="N97" s="258"/>
      <c r="O97" s="256">
        <f>SUM(O98:O117)</f>
        <v>52</v>
      </c>
      <c r="P97" s="260">
        <f>SUM(P98:P117)</f>
        <v>8</v>
      </c>
      <c r="Q97" s="261"/>
      <c r="R97" s="262">
        <f>SUM(R98:R117)</f>
        <v>1.6199999999999999</v>
      </c>
      <c r="S97" s="258"/>
      <c r="T97" s="256">
        <f>SUM(T98:T117)</f>
        <v>39</v>
      </c>
      <c r="U97" s="260">
        <f>SUM(U98:U117)</f>
        <v>0</v>
      </c>
      <c r="V97" s="261"/>
      <c r="W97" s="262">
        <f>SUM(W98:W117)</f>
        <v>0</v>
      </c>
      <c r="X97" s="263">
        <f>SUM(X98:X117)</f>
        <v>2.9220479999999993</v>
      </c>
      <c r="Y97" s="497"/>
      <c r="Z97" s="264"/>
      <c r="AA97" s="114">
        <f>+M97+R97+W97</f>
        <v>2.922048</v>
      </c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52"/>
      <c r="AR97" s="253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</row>
    <row r="98" spans="1:44" s="244" customFormat="1" ht="23.25" customHeight="1">
      <c r="A98" s="265" t="s">
        <v>55</v>
      </c>
      <c r="B98" s="266"/>
      <c r="C98" s="267" t="s">
        <v>157</v>
      </c>
      <c r="D98" s="268">
        <v>1.48</v>
      </c>
      <c r="E98" s="268">
        <v>1.55</v>
      </c>
      <c r="F98" s="268">
        <v>1.5</v>
      </c>
      <c r="G98" s="268">
        <v>1.75</v>
      </c>
      <c r="H98" s="269">
        <v>2</v>
      </c>
      <c r="I98" s="270">
        <v>6</v>
      </c>
      <c r="J98" s="271"/>
      <c r="K98" s="271"/>
      <c r="L98" s="271"/>
      <c r="M98" s="271"/>
      <c r="N98" s="272"/>
      <c r="O98" s="273"/>
      <c r="P98" s="271"/>
      <c r="Q98" s="290"/>
      <c r="R98" s="271"/>
      <c r="S98" s="275">
        <v>3</v>
      </c>
      <c r="T98" s="276">
        <v>15</v>
      </c>
      <c r="U98" s="290"/>
      <c r="V98" s="290"/>
      <c r="W98" s="290"/>
      <c r="X98" s="277">
        <f aca="true" t="shared" si="3" ref="X98:X105">M98+R98+W98</f>
        <v>0</v>
      </c>
      <c r="Y98" s="100"/>
      <c r="Z98" s="278" t="s">
        <v>158</v>
      </c>
      <c r="AQ98" s="252"/>
      <c r="AR98" s="253"/>
    </row>
    <row r="99" spans="1:54" s="244" customFormat="1" ht="23.25" customHeight="1">
      <c r="A99" s="265" t="s">
        <v>55</v>
      </c>
      <c r="B99" s="266"/>
      <c r="C99" s="267"/>
      <c r="D99" s="268"/>
      <c r="E99" s="268"/>
      <c r="F99" s="268"/>
      <c r="G99" s="268"/>
      <c r="H99" s="269"/>
      <c r="I99" s="270"/>
      <c r="J99" s="271"/>
      <c r="K99" s="271"/>
      <c r="L99" s="271"/>
      <c r="M99" s="271"/>
      <c r="N99" s="272"/>
      <c r="O99" s="273"/>
      <c r="P99" s="271"/>
      <c r="Q99" s="290"/>
      <c r="R99" s="271"/>
      <c r="S99" s="275"/>
      <c r="T99" s="276"/>
      <c r="U99" s="290"/>
      <c r="V99" s="290"/>
      <c r="W99" s="290"/>
      <c r="X99" s="277">
        <f t="shared" si="3"/>
        <v>0</v>
      </c>
      <c r="Y99" s="100"/>
      <c r="Z99" s="278" t="s">
        <v>158</v>
      </c>
      <c r="AA99" s="279"/>
      <c r="AB99" s="280"/>
      <c r="AC99" s="280"/>
      <c r="AD99" s="281"/>
      <c r="AE99" s="281"/>
      <c r="AF99" s="281"/>
      <c r="AG99" s="282"/>
      <c r="AH99" s="281"/>
      <c r="AI99" s="280"/>
      <c r="AJ99" s="280"/>
      <c r="AK99" s="280"/>
      <c r="AL99" s="280"/>
      <c r="AM99" s="280"/>
      <c r="AN99" s="280"/>
      <c r="AO99" s="280"/>
      <c r="AP99" s="280"/>
      <c r="AQ99" s="283">
        <v>3</v>
      </c>
      <c r="AR99" s="284">
        <v>2</v>
      </c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</row>
    <row r="100" spans="1:54" s="244" customFormat="1" ht="23.25" customHeight="1">
      <c r="A100" s="265" t="s">
        <v>55</v>
      </c>
      <c r="B100" s="266"/>
      <c r="C100" s="267"/>
      <c r="D100" s="268"/>
      <c r="E100" s="268"/>
      <c r="F100" s="268"/>
      <c r="G100" s="268"/>
      <c r="H100" s="285"/>
      <c r="I100" s="270"/>
      <c r="J100" s="286"/>
      <c r="K100" s="286"/>
      <c r="L100" s="287"/>
      <c r="M100" s="271"/>
      <c r="N100" s="272"/>
      <c r="O100" s="288"/>
      <c r="P100" s="271"/>
      <c r="Q100" s="290"/>
      <c r="R100" s="271"/>
      <c r="S100" s="275"/>
      <c r="T100" s="276"/>
      <c r="U100" s="290"/>
      <c r="V100" s="290"/>
      <c r="W100" s="290"/>
      <c r="X100" s="277">
        <f t="shared" si="3"/>
        <v>0</v>
      </c>
      <c r="Y100" s="100"/>
      <c r="Z100" s="278" t="s">
        <v>158</v>
      </c>
      <c r="AA100" s="279"/>
      <c r="AB100" s="280"/>
      <c r="AC100" s="280"/>
      <c r="AD100" s="281"/>
      <c r="AE100" s="281"/>
      <c r="AF100" s="281"/>
      <c r="AG100" s="282"/>
      <c r="AH100" s="281"/>
      <c r="AI100" s="280"/>
      <c r="AJ100" s="280"/>
      <c r="AK100" s="280"/>
      <c r="AL100" s="280"/>
      <c r="AM100" s="280"/>
      <c r="AN100" s="280"/>
      <c r="AO100" s="280"/>
      <c r="AP100" s="280"/>
      <c r="AQ100" s="283">
        <v>3</v>
      </c>
      <c r="AR100" s="284">
        <v>2</v>
      </c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</row>
    <row r="101" spans="1:44" s="244" customFormat="1" ht="23.25" customHeight="1">
      <c r="A101" s="265" t="s">
        <v>55</v>
      </c>
      <c r="B101" s="266"/>
      <c r="C101" s="267" t="s">
        <v>159</v>
      </c>
      <c r="D101" s="268">
        <v>1.25</v>
      </c>
      <c r="E101" s="268">
        <v>1.69</v>
      </c>
      <c r="F101" s="268">
        <v>1.2</v>
      </c>
      <c r="G101" s="268">
        <v>1.7</v>
      </c>
      <c r="H101" s="269"/>
      <c r="I101" s="270"/>
      <c r="J101" s="271"/>
      <c r="K101" s="271"/>
      <c r="L101" s="271"/>
      <c r="M101" s="271"/>
      <c r="N101" s="272">
        <v>3</v>
      </c>
      <c r="O101" s="273">
        <v>8</v>
      </c>
      <c r="P101" s="271">
        <v>3</v>
      </c>
      <c r="Q101" s="271">
        <v>24</v>
      </c>
      <c r="R101" s="271">
        <f>777600/1000000</f>
        <v>0.7776</v>
      </c>
      <c r="S101" s="275">
        <v>3</v>
      </c>
      <c r="T101" s="276">
        <v>15</v>
      </c>
      <c r="U101" s="290"/>
      <c r="V101" s="290"/>
      <c r="W101" s="290"/>
      <c r="X101" s="277">
        <f t="shared" si="3"/>
        <v>0.7776</v>
      </c>
      <c r="Y101" s="100"/>
      <c r="Z101" s="278" t="s">
        <v>160</v>
      </c>
      <c r="AQ101" s="289"/>
      <c r="AR101" s="253"/>
    </row>
    <row r="102" spans="1:44" s="244" customFormat="1" ht="23.25" customHeight="1">
      <c r="A102" s="265" t="s">
        <v>55</v>
      </c>
      <c r="B102" s="266"/>
      <c r="C102" s="267" t="s">
        <v>161</v>
      </c>
      <c r="D102" s="268"/>
      <c r="E102" s="268"/>
      <c r="F102" s="268"/>
      <c r="G102" s="268"/>
      <c r="H102" s="285"/>
      <c r="I102" s="270"/>
      <c r="J102" s="286"/>
      <c r="K102" s="286"/>
      <c r="L102" s="287"/>
      <c r="M102" s="271"/>
      <c r="N102" s="272"/>
      <c r="O102" s="288"/>
      <c r="P102" s="271"/>
      <c r="Q102" s="290"/>
      <c r="R102" s="271"/>
      <c r="S102" s="275"/>
      <c r="T102" s="276"/>
      <c r="U102" s="271"/>
      <c r="V102" s="290"/>
      <c r="W102" s="492"/>
      <c r="X102" s="277">
        <f t="shared" si="3"/>
        <v>0</v>
      </c>
      <c r="Y102" s="100"/>
      <c r="Z102" s="278"/>
      <c r="AQ102" s="252"/>
      <c r="AR102" s="253"/>
    </row>
    <row r="103" spans="1:44" s="244" customFormat="1" ht="24" customHeight="1">
      <c r="A103" s="265" t="s">
        <v>55</v>
      </c>
      <c r="B103" s="266"/>
      <c r="C103" s="267" t="s">
        <v>162</v>
      </c>
      <c r="D103" s="268">
        <v>0.81</v>
      </c>
      <c r="E103" s="268">
        <v>1.23</v>
      </c>
      <c r="F103" s="268">
        <v>0.81</v>
      </c>
      <c r="G103" s="268">
        <v>1.25</v>
      </c>
      <c r="H103" s="269">
        <v>1</v>
      </c>
      <c r="I103" s="270">
        <v>6</v>
      </c>
      <c r="J103" s="271">
        <v>1</v>
      </c>
      <c r="K103" s="271">
        <v>0.2</v>
      </c>
      <c r="L103" s="271">
        <v>24</v>
      </c>
      <c r="M103" s="271">
        <f>60*60*24*3.7/1000000</f>
        <v>0.31968</v>
      </c>
      <c r="N103" s="272"/>
      <c r="O103" s="288"/>
      <c r="P103" s="271"/>
      <c r="Q103" s="290"/>
      <c r="R103" s="271"/>
      <c r="S103" s="275"/>
      <c r="T103" s="276"/>
      <c r="U103" s="271"/>
      <c r="V103" s="290"/>
      <c r="W103" s="271"/>
      <c r="X103" s="277">
        <f t="shared" si="3"/>
        <v>0.31968</v>
      </c>
      <c r="Y103" s="100"/>
      <c r="Z103" s="278" t="s">
        <v>163</v>
      </c>
      <c r="AQ103" s="289"/>
      <c r="AR103" s="253"/>
    </row>
    <row r="104" spans="1:44" s="244" customFormat="1" ht="23.25" customHeight="1">
      <c r="A104" s="265" t="s">
        <v>55</v>
      </c>
      <c r="B104" s="266"/>
      <c r="C104" s="267" t="s">
        <v>164</v>
      </c>
      <c r="D104" s="268"/>
      <c r="E104" s="268"/>
      <c r="F104" s="268"/>
      <c r="G104" s="268"/>
      <c r="H104" s="285"/>
      <c r="I104" s="270"/>
      <c r="J104" s="286"/>
      <c r="K104" s="286"/>
      <c r="L104" s="287"/>
      <c r="M104" s="271"/>
      <c r="N104" s="272"/>
      <c r="O104" s="288"/>
      <c r="P104" s="271"/>
      <c r="Q104" s="290"/>
      <c r="R104" s="271"/>
      <c r="S104" s="275"/>
      <c r="T104" s="276"/>
      <c r="U104" s="271"/>
      <c r="V104" s="290"/>
      <c r="W104" s="492"/>
      <c r="X104" s="277">
        <f t="shared" si="3"/>
        <v>0</v>
      </c>
      <c r="Y104" s="100"/>
      <c r="Z104" s="278" t="s">
        <v>163</v>
      </c>
      <c r="AQ104" s="252">
        <v>3</v>
      </c>
      <c r="AR104" s="253">
        <v>1</v>
      </c>
    </row>
    <row r="105" spans="1:44" s="244" customFormat="1" ht="23.25" customHeight="1">
      <c r="A105" s="265" t="s">
        <v>55</v>
      </c>
      <c r="B105" s="266"/>
      <c r="C105" s="267" t="s">
        <v>165</v>
      </c>
      <c r="D105" s="268"/>
      <c r="E105" s="268"/>
      <c r="F105" s="268"/>
      <c r="G105" s="268"/>
      <c r="H105" s="285"/>
      <c r="I105" s="270"/>
      <c r="J105" s="290"/>
      <c r="K105" s="290"/>
      <c r="L105" s="290"/>
      <c r="M105" s="290"/>
      <c r="N105" s="272"/>
      <c r="O105" s="288"/>
      <c r="P105" s="271"/>
      <c r="Q105" s="290"/>
      <c r="R105" s="271"/>
      <c r="S105" s="275"/>
      <c r="T105" s="276"/>
      <c r="U105" s="271"/>
      <c r="V105" s="290"/>
      <c r="W105" s="492"/>
      <c r="X105" s="277">
        <f t="shared" si="3"/>
        <v>0</v>
      </c>
      <c r="Y105" s="100"/>
      <c r="Z105" s="278" t="s">
        <v>163</v>
      </c>
      <c r="AQ105" s="252">
        <v>3</v>
      </c>
      <c r="AR105" s="253">
        <v>2</v>
      </c>
    </row>
    <row r="106" spans="1:44" s="102" customFormat="1" ht="23.25" customHeight="1">
      <c r="A106" s="265" t="s">
        <v>40</v>
      </c>
      <c r="B106" s="266"/>
      <c r="C106" s="267" t="s">
        <v>51</v>
      </c>
      <c r="D106" s="268">
        <v>3.21</v>
      </c>
      <c r="E106" s="268">
        <v>3.24</v>
      </c>
      <c r="F106" s="268">
        <v>3.19</v>
      </c>
      <c r="G106" s="268">
        <v>3.22</v>
      </c>
      <c r="H106" s="269"/>
      <c r="I106" s="270"/>
      <c r="J106" s="271">
        <v>1</v>
      </c>
      <c r="K106" s="271" t="s">
        <v>133</v>
      </c>
      <c r="L106" s="271">
        <v>24</v>
      </c>
      <c r="M106" s="271">
        <f>60*60*24*11.28/1000000</f>
        <v>0.974592</v>
      </c>
      <c r="N106" s="291"/>
      <c r="O106" s="273"/>
      <c r="P106" s="286"/>
      <c r="Q106" s="287"/>
      <c r="R106" s="286"/>
      <c r="S106" s="275">
        <v>3</v>
      </c>
      <c r="T106" s="276">
        <v>2</v>
      </c>
      <c r="U106" s="290"/>
      <c r="V106" s="290"/>
      <c r="W106" s="271"/>
      <c r="X106" s="277">
        <f aca="true" t="shared" si="4" ref="X106:X117">M106+R106+W106</f>
        <v>0.974592</v>
      </c>
      <c r="Y106" s="100"/>
      <c r="Z106" s="101"/>
      <c r="AD106" s="292"/>
      <c r="AE106" s="292"/>
      <c r="AF106" s="292"/>
      <c r="AG106" s="293"/>
      <c r="AH106" s="294"/>
      <c r="AI106" s="172"/>
      <c r="AQ106" s="105">
        <v>1</v>
      </c>
      <c r="AR106" s="106">
        <v>4</v>
      </c>
    </row>
    <row r="107" spans="1:44" s="102" customFormat="1" ht="23.25" customHeight="1">
      <c r="A107" s="265" t="s">
        <v>40</v>
      </c>
      <c r="B107" s="266"/>
      <c r="C107" s="267" t="s">
        <v>54</v>
      </c>
      <c r="D107" s="268">
        <v>2.46</v>
      </c>
      <c r="E107" s="268">
        <v>2.47</v>
      </c>
      <c r="F107" s="268">
        <v>2.46</v>
      </c>
      <c r="G107" s="268">
        <v>2.47</v>
      </c>
      <c r="H107" s="269">
        <v>2.33</v>
      </c>
      <c r="I107" s="270">
        <v>6</v>
      </c>
      <c r="J107" s="271">
        <v>1</v>
      </c>
      <c r="K107" s="271">
        <v>0.05</v>
      </c>
      <c r="L107" s="271">
        <v>24</v>
      </c>
      <c r="M107" s="271">
        <f>60*60*24*0.09/1000000</f>
        <v>0.007776</v>
      </c>
      <c r="N107" s="291"/>
      <c r="O107" s="273"/>
      <c r="P107" s="286"/>
      <c r="Q107" s="287"/>
      <c r="R107" s="286"/>
      <c r="S107" s="275">
        <v>3</v>
      </c>
      <c r="T107" s="276">
        <v>2</v>
      </c>
      <c r="U107" s="290"/>
      <c r="V107" s="290"/>
      <c r="W107" s="290"/>
      <c r="X107" s="277">
        <f>M107+R107+W107</f>
        <v>0.007776</v>
      </c>
      <c r="Y107" s="100"/>
      <c r="Z107" s="101"/>
      <c r="AD107" s="292"/>
      <c r="AE107" s="292"/>
      <c r="AF107" s="292"/>
      <c r="AG107" s="293"/>
      <c r="AH107" s="294"/>
      <c r="AI107" s="172"/>
      <c r="AQ107" s="105"/>
      <c r="AR107" s="106"/>
    </row>
    <row r="108" spans="1:54" s="244" customFormat="1" ht="23.25" customHeight="1">
      <c r="A108" s="267" t="s">
        <v>111</v>
      </c>
      <c r="B108" s="266"/>
      <c r="C108" s="267" t="s">
        <v>166</v>
      </c>
      <c r="D108" s="295"/>
      <c r="E108" s="295"/>
      <c r="F108" s="295"/>
      <c r="G108" s="295"/>
      <c r="H108" s="296"/>
      <c r="I108" s="297"/>
      <c r="J108" s="271"/>
      <c r="K108" s="271"/>
      <c r="L108" s="271"/>
      <c r="M108" s="271"/>
      <c r="N108" s="272"/>
      <c r="O108" s="273"/>
      <c r="P108" s="271"/>
      <c r="Q108" s="271"/>
      <c r="R108" s="271"/>
      <c r="S108" s="275"/>
      <c r="T108" s="276"/>
      <c r="U108" s="271"/>
      <c r="V108" s="271"/>
      <c r="W108" s="271"/>
      <c r="X108" s="277">
        <f t="shared" si="4"/>
        <v>0</v>
      </c>
      <c r="Y108" s="498"/>
      <c r="Z108" s="278"/>
      <c r="AA108" s="298"/>
      <c r="AB108" s="114"/>
      <c r="AC108" s="176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26"/>
      <c r="AR108" s="127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</row>
    <row r="109" spans="1:54" s="244" customFormat="1" ht="23.25" customHeight="1">
      <c r="A109" s="267" t="s">
        <v>111</v>
      </c>
      <c r="B109" s="266"/>
      <c r="C109" s="267" t="s">
        <v>167</v>
      </c>
      <c r="D109" s="295"/>
      <c r="E109" s="295"/>
      <c r="F109" s="299" t="s">
        <v>395</v>
      </c>
      <c r="G109" s="300"/>
      <c r="H109" s="301"/>
      <c r="I109" s="302"/>
      <c r="J109" s="303"/>
      <c r="K109" s="303"/>
      <c r="L109" s="303"/>
      <c r="M109" s="303"/>
      <c r="N109" s="271"/>
      <c r="O109" s="130"/>
      <c r="P109" s="271"/>
      <c r="Q109" s="271"/>
      <c r="R109" s="271"/>
      <c r="S109" s="271"/>
      <c r="T109" s="274"/>
      <c r="U109" s="303"/>
      <c r="V109" s="303"/>
      <c r="W109" s="303"/>
      <c r="X109" s="277">
        <f t="shared" si="4"/>
        <v>0</v>
      </c>
      <c r="Y109" s="498"/>
      <c r="Z109" s="278"/>
      <c r="AA109" s="298"/>
      <c r="AB109" s="114"/>
      <c r="AC109" s="176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26"/>
      <c r="AR109" s="127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</row>
    <row r="110" spans="1:54" s="244" customFormat="1" ht="23.25" customHeight="1">
      <c r="A110" s="267" t="s">
        <v>111</v>
      </c>
      <c r="B110" s="266"/>
      <c r="C110" s="267" t="s">
        <v>127</v>
      </c>
      <c r="D110" s="295"/>
      <c r="E110" s="295"/>
      <c r="F110" s="295"/>
      <c r="G110" s="295"/>
      <c r="H110" s="296"/>
      <c r="I110" s="297"/>
      <c r="J110" s="271"/>
      <c r="K110" s="271"/>
      <c r="L110" s="271"/>
      <c r="M110" s="271"/>
      <c r="N110" s="272">
        <v>3</v>
      </c>
      <c r="O110" s="273">
        <v>2</v>
      </c>
      <c r="P110" s="271"/>
      <c r="Q110" s="271"/>
      <c r="R110" s="271"/>
      <c r="S110" s="275"/>
      <c r="T110" s="276"/>
      <c r="U110" s="271"/>
      <c r="V110" s="271"/>
      <c r="W110" s="271"/>
      <c r="X110" s="277">
        <f t="shared" si="4"/>
        <v>0</v>
      </c>
      <c r="Y110" s="498"/>
      <c r="Z110" s="278"/>
      <c r="AA110" s="298"/>
      <c r="AB110" s="114"/>
      <c r="AC110" s="176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26"/>
      <c r="AR110" s="127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</row>
    <row r="111" spans="1:54" s="244" customFormat="1" ht="23.25" customHeight="1">
      <c r="A111" s="267" t="s">
        <v>111</v>
      </c>
      <c r="B111" s="266"/>
      <c r="C111" s="267" t="s">
        <v>126</v>
      </c>
      <c r="D111" s="295"/>
      <c r="E111" s="295"/>
      <c r="F111" s="295"/>
      <c r="G111" s="295"/>
      <c r="H111" s="296"/>
      <c r="I111" s="297" t="s">
        <v>229</v>
      </c>
      <c r="J111" s="271"/>
      <c r="K111" s="271"/>
      <c r="L111" s="271"/>
      <c r="M111" s="271"/>
      <c r="N111" s="272">
        <v>1</v>
      </c>
      <c r="O111" s="273">
        <v>2</v>
      </c>
      <c r="P111" s="271"/>
      <c r="Q111" s="271"/>
      <c r="R111" s="271"/>
      <c r="S111" s="275"/>
      <c r="T111" s="276"/>
      <c r="U111" s="271"/>
      <c r="V111" s="271"/>
      <c r="W111" s="271"/>
      <c r="X111" s="277">
        <f t="shared" si="4"/>
        <v>0</v>
      </c>
      <c r="Y111" s="498"/>
      <c r="Z111" s="278" t="s">
        <v>169</v>
      </c>
      <c r="AA111" s="298"/>
      <c r="AB111" s="114"/>
      <c r="AC111" s="176">
        <f>+G111</f>
        <v>0</v>
      </c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26"/>
      <c r="AR111" s="127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</row>
    <row r="112" spans="1:54" s="244" customFormat="1" ht="23.25" customHeight="1">
      <c r="A112" s="265" t="s">
        <v>131</v>
      </c>
      <c r="B112" s="266"/>
      <c r="C112" s="267" t="s">
        <v>168</v>
      </c>
      <c r="D112" s="304">
        <v>1.13</v>
      </c>
      <c r="E112" s="304">
        <v>0.94</v>
      </c>
      <c r="F112" s="304">
        <v>1.11</v>
      </c>
      <c r="G112" s="304">
        <v>0.9</v>
      </c>
      <c r="H112" s="269"/>
      <c r="I112" s="270">
        <v>6</v>
      </c>
      <c r="J112" s="290"/>
      <c r="K112" s="290"/>
      <c r="L112" s="290"/>
      <c r="M112" s="290"/>
      <c r="N112" s="272">
        <v>3</v>
      </c>
      <c r="O112" s="273">
        <v>20</v>
      </c>
      <c r="P112" s="290">
        <v>3</v>
      </c>
      <c r="Q112" s="290">
        <v>10</v>
      </c>
      <c r="R112" s="290">
        <v>0.324</v>
      </c>
      <c r="S112" s="305"/>
      <c r="T112" s="276"/>
      <c r="U112" s="271"/>
      <c r="V112" s="290"/>
      <c r="W112" s="492"/>
      <c r="X112" s="277">
        <f t="shared" si="4"/>
        <v>0.324</v>
      </c>
      <c r="Y112" s="100"/>
      <c r="Z112" s="278"/>
      <c r="AA112" s="298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26"/>
      <c r="AR112" s="127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</row>
    <row r="113" spans="1:54" s="244" customFormat="1" ht="23.25" customHeight="1">
      <c r="A113" s="265" t="s">
        <v>131</v>
      </c>
      <c r="B113" s="266"/>
      <c r="C113" s="267" t="s">
        <v>170</v>
      </c>
      <c r="D113" s="304">
        <v>0.77</v>
      </c>
      <c r="E113" s="304">
        <v>0.47</v>
      </c>
      <c r="F113" s="304">
        <v>0.76</v>
      </c>
      <c r="G113" s="304">
        <v>0.46</v>
      </c>
      <c r="H113" s="285"/>
      <c r="I113" s="270">
        <v>6</v>
      </c>
      <c r="J113" s="290"/>
      <c r="K113" s="290"/>
      <c r="L113" s="290"/>
      <c r="M113" s="290"/>
      <c r="N113" s="272"/>
      <c r="O113" s="273"/>
      <c r="P113" s="271"/>
      <c r="Q113" s="290"/>
      <c r="R113" s="271"/>
      <c r="S113" s="275"/>
      <c r="T113" s="276"/>
      <c r="U113" s="271"/>
      <c r="V113" s="290"/>
      <c r="W113" s="492"/>
      <c r="X113" s="277">
        <f t="shared" si="4"/>
        <v>0</v>
      </c>
      <c r="Y113" s="100"/>
      <c r="Z113" s="278" t="s">
        <v>172</v>
      </c>
      <c r="AA113" s="298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26"/>
      <c r="AR113" s="127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</row>
    <row r="114" spans="1:54" s="244" customFormat="1" ht="23.25" customHeight="1">
      <c r="A114" s="265" t="s">
        <v>131</v>
      </c>
      <c r="B114" s="266"/>
      <c r="C114" s="267" t="s">
        <v>171</v>
      </c>
      <c r="D114" s="304">
        <v>0.58</v>
      </c>
      <c r="E114" s="304">
        <v>0.45</v>
      </c>
      <c r="F114" s="304">
        <v>0.61</v>
      </c>
      <c r="G114" s="304">
        <v>0.48</v>
      </c>
      <c r="H114" s="269"/>
      <c r="I114" s="270">
        <v>6</v>
      </c>
      <c r="J114" s="290"/>
      <c r="K114" s="290"/>
      <c r="L114" s="290"/>
      <c r="M114" s="290"/>
      <c r="N114" s="272">
        <v>3</v>
      </c>
      <c r="O114" s="273">
        <v>20</v>
      </c>
      <c r="P114" s="290">
        <v>2</v>
      </c>
      <c r="Q114" s="290">
        <v>24</v>
      </c>
      <c r="R114" s="290">
        <v>0.5184</v>
      </c>
      <c r="S114" s="305"/>
      <c r="T114" s="276"/>
      <c r="U114" s="271"/>
      <c r="V114" s="290"/>
      <c r="W114" s="492"/>
      <c r="X114" s="277">
        <f t="shared" si="4"/>
        <v>0.5184</v>
      </c>
      <c r="Y114" s="100"/>
      <c r="Z114" s="278"/>
      <c r="AA114" s="298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26"/>
      <c r="AR114" s="127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</row>
    <row r="115" spans="1:54" s="244" customFormat="1" ht="23.25" customHeight="1">
      <c r="A115" s="265" t="s">
        <v>131</v>
      </c>
      <c r="B115" s="266"/>
      <c r="C115" s="267" t="s">
        <v>173</v>
      </c>
      <c r="D115" s="268"/>
      <c r="E115" s="268"/>
      <c r="F115" s="268"/>
      <c r="G115" s="268"/>
      <c r="H115" s="285"/>
      <c r="I115" s="270"/>
      <c r="J115" s="286"/>
      <c r="K115" s="286"/>
      <c r="L115" s="287"/>
      <c r="M115" s="271"/>
      <c r="N115" s="272"/>
      <c r="O115" s="288"/>
      <c r="P115" s="271"/>
      <c r="Q115" s="290"/>
      <c r="R115" s="271"/>
      <c r="S115" s="275">
        <v>3</v>
      </c>
      <c r="T115" s="276">
        <v>2</v>
      </c>
      <c r="U115" s="290"/>
      <c r="V115" s="290"/>
      <c r="W115" s="290"/>
      <c r="X115" s="277">
        <f t="shared" si="4"/>
        <v>0</v>
      </c>
      <c r="Y115" s="100"/>
      <c r="Z115" s="278"/>
      <c r="AA115" s="298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5"/>
      <c r="AR115" s="127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</row>
    <row r="116" spans="1:54" s="244" customFormat="1" ht="23.25" customHeight="1">
      <c r="A116" s="265" t="s">
        <v>131</v>
      </c>
      <c r="B116" s="266"/>
      <c r="C116" s="267" t="s">
        <v>174</v>
      </c>
      <c r="D116" s="268"/>
      <c r="E116" s="268"/>
      <c r="F116" s="268"/>
      <c r="G116" s="268"/>
      <c r="H116" s="285"/>
      <c r="I116" s="270"/>
      <c r="J116" s="286"/>
      <c r="K116" s="286"/>
      <c r="L116" s="287"/>
      <c r="M116" s="271"/>
      <c r="N116" s="272"/>
      <c r="O116" s="288"/>
      <c r="P116" s="271"/>
      <c r="Q116" s="290"/>
      <c r="R116" s="271"/>
      <c r="S116" s="275">
        <v>3</v>
      </c>
      <c r="T116" s="276">
        <v>2</v>
      </c>
      <c r="U116" s="290"/>
      <c r="V116" s="290"/>
      <c r="W116" s="290"/>
      <c r="X116" s="277">
        <f t="shared" si="4"/>
        <v>0</v>
      </c>
      <c r="Y116" s="100"/>
      <c r="Z116" s="278" t="s">
        <v>172</v>
      </c>
      <c r="AA116" s="298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26"/>
      <c r="AR116" s="127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</row>
    <row r="117" spans="1:54" s="244" customFormat="1" ht="23.25" customHeight="1">
      <c r="A117" s="265" t="s">
        <v>131</v>
      </c>
      <c r="B117" s="266"/>
      <c r="C117" s="267" t="s">
        <v>175</v>
      </c>
      <c r="D117" s="268"/>
      <c r="E117" s="268"/>
      <c r="F117" s="268"/>
      <c r="G117" s="268"/>
      <c r="H117" s="285"/>
      <c r="I117" s="270"/>
      <c r="J117" s="286"/>
      <c r="K117" s="286"/>
      <c r="L117" s="287"/>
      <c r="M117" s="271"/>
      <c r="N117" s="272"/>
      <c r="O117" s="288"/>
      <c r="P117" s="271"/>
      <c r="Q117" s="290"/>
      <c r="R117" s="271"/>
      <c r="S117" s="275">
        <v>3</v>
      </c>
      <c r="T117" s="276">
        <v>1</v>
      </c>
      <c r="U117" s="290"/>
      <c r="V117" s="290"/>
      <c r="W117" s="290"/>
      <c r="X117" s="277">
        <f t="shared" si="4"/>
        <v>0</v>
      </c>
      <c r="Y117" s="100"/>
      <c r="Z117" s="306"/>
      <c r="AA117" s="298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26"/>
      <c r="AR117" s="127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</row>
    <row r="118" spans="1:54" s="241" customFormat="1" ht="41.25" customHeight="1">
      <c r="A118" s="307" t="s">
        <v>176</v>
      </c>
      <c r="B118" s="308"/>
      <c r="C118" s="309"/>
      <c r="D118" s="310"/>
      <c r="E118" s="310"/>
      <c r="F118" s="310"/>
      <c r="G118" s="310"/>
      <c r="H118" s="311"/>
      <c r="I118" s="312"/>
      <c r="J118" s="312"/>
      <c r="K118" s="312"/>
      <c r="L118" s="313"/>
      <c r="M118" s="312">
        <f>M119+M214+M293</f>
        <v>1.8536599355094454</v>
      </c>
      <c r="N118" s="312"/>
      <c r="O118" s="311">
        <f>O119+O214+O293</f>
        <v>189</v>
      </c>
      <c r="P118" s="314">
        <f>P119+P214</f>
        <v>18</v>
      </c>
      <c r="Q118" s="315"/>
      <c r="R118" s="312">
        <f>R119+R214+R293</f>
        <v>3.225999999999999</v>
      </c>
      <c r="S118" s="312"/>
      <c r="T118" s="311">
        <f>T119+T214+T293</f>
        <v>116</v>
      </c>
      <c r="U118" s="311">
        <f>U119+U214+U293</f>
        <v>7</v>
      </c>
      <c r="V118" s="315"/>
      <c r="W118" s="312">
        <f>W119+W214+W293</f>
        <v>0.70024</v>
      </c>
      <c r="X118" s="312">
        <f>X119+X217+X294</f>
        <v>3.6451999999999996</v>
      </c>
      <c r="Y118" s="499"/>
      <c r="Z118" s="316"/>
      <c r="AA118" s="317">
        <f>+M118+R118+W118</f>
        <v>5.7798999355094445</v>
      </c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26"/>
      <c r="AR118" s="127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</row>
    <row r="119" spans="1:44" s="102" customFormat="1" ht="45" customHeight="1">
      <c r="A119" s="511" t="s">
        <v>177</v>
      </c>
      <c r="B119" s="512"/>
      <c r="C119" s="183"/>
      <c r="D119" s="184"/>
      <c r="E119" s="184"/>
      <c r="F119" s="184"/>
      <c r="G119" s="184"/>
      <c r="H119" s="185"/>
      <c r="I119" s="186"/>
      <c r="J119" s="186"/>
      <c r="K119" s="186"/>
      <c r="L119" s="187"/>
      <c r="M119" s="188">
        <f>SUM(M120:M213)</f>
        <v>0.5700000000000001</v>
      </c>
      <c r="N119" s="186"/>
      <c r="O119" s="189">
        <f>SUM(O120:O213)</f>
        <v>132</v>
      </c>
      <c r="P119" s="189">
        <f>SUM(P120:P213)</f>
        <v>13</v>
      </c>
      <c r="Q119" s="318"/>
      <c r="R119" s="188">
        <f>SUM(R120:R213)</f>
        <v>2.9019999999999992</v>
      </c>
      <c r="S119" s="186"/>
      <c r="T119" s="189">
        <f>SUM(T120:T213)</f>
        <v>83</v>
      </c>
      <c r="U119" s="189">
        <f>SUM(U120:U213)</f>
        <v>1</v>
      </c>
      <c r="V119" s="191"/>
      <c r="W119" s="188">
        <f>SUM(W120:W213)</f>
        <v>0.13</v>
      </c>
      <c r="X119" s="319">
        <f>M119+R119+W119</f>
        <v>3.6019999999999994</v>
      </c>
      <c r="Y119" s="500"/>
      <c r="Z119" s="194"/>
      <c r="AA119" s="176">
        <f>SUM(X120:X217)</f>
        <v>5.823099935509444</v>
      </c>
      <c r="AQ119" s="126"/>
      <c r="AR119" s="127"/>
    </row>
    <row r="120" spans="1:44" s="102" customFormat="1" ht="30">
      <c r="A120" s="87" t="s">
        <v>178</v>
      </c>
      <c r="B120" s="216">
        <v>1</v>
      </c>
      <c r="C120" s="87" t="s">
        <v>179</v>
      </c>
      <c r="D120" s="320">
        <v>1.85</v>
      </c>
      <c r="E120" s="320">
        <v>1.75</v>
      </c>
      <c r="F120" s="320">
        <v>1.7</v>
      </c>
      <c r="G120" s="320">
        <v>1.8</v>
      </c>
      <c r="H120" s="90">
        <v>1</v>
      </c>
      <c r="I120" s="321">
        <v>6</v>
      </c>
      <c r="J120" s="92"/>
      <c r="K120" s="107"/>
      <c r="L120" s="107"/>
      <c r="M120" s="107"/>
      <c r="N120" s="93">
        <v>3</v>
      </c>
      <c r="O120" s="94">
        <v>8</v>
      </c>
      <c r="P120" s="105">
        <v>4</v>
      </c>
      <c r="Q120" s="105">
        <v>24</v>
      </c>
      <c r="R120" s="105">
        <f>829440/1000000</f>
        <v>0.82944</v>
      </c>
      <c r="S120" s="139"/>
      <c r="T120" s="97"/>
      <c r="U120" s="107"/>
      <c r="V120" s="107"/>
      <c r="W120" s="107"/>
      <c r="X120" s="99">
        <f>M120+R120+W120</f>
        <v>0.82944</v>
      </c>
      <c r="Y120" s="322" t="s">
        <v>407</v>
      </c>
      <c r="Z120" s="101"/>
      <c r="AA120" s="298" t="s">
        <v>180</v>
      </c>
      <c r="AQ120" s="105">
        <v>0.15</v>
      </c>
      <c r="AR120" s="127">
        <v>5</v>
      </c>
    </row>
    <row r="121" spans="1:44" s="102" customFormat="1" ht="30">
      <c r="A121" s="87" t="s">
        <v>178</v>
      </c>
      <c r="B121" s="216">
        <v>2</v>
      </c>
      <c r="C121" s="87" t="s">
        <v>181</v>
      </c>
      <c r="D121" s="320">
        <v>1.6</v>
      </c>
      <c r="E121" s="320">
        <v>1.15</v>
      </c>
      <c r="F121" s="320">
        <v>1.3</v>
      </c>
      <c r="G121" s="320">
        <v>1</v>
      </c>
      <c r="H121" s="90">
        <v>1</v>
      </c>
      <c r="I121" s="321">
        <v>4</v>
      </c>
      <c r="J121" s="92"/>
      <c r="K121" s="107"/>
      <c r="L121" s="107"/>
      <c r="M121" s="107"/>
      <c r="N121" s="93"/>
      <c r="O121" s="94"/>
      <c r="P121" s="92"/>
      <c r="Q121" s="107"/>
      <c r="R121" s="92"/>
      <c r="S121" s="96">
        <v>3</v>
      </c>
      <c r="T121" s="97">
        <v>2</v>
      </c>
      <c r="U121" s="92"/>
      <c r="V121" s="92"/>
      <c r="W121" s="92"/>
      <c r="X121" s="99">
        <f aca="true" t="shared" si="5" ref="X121:X133">M121+R121+W121</f>
        <v>0</v>
      </c>
      <c r="Y121" s="322"/>
      <c r="Z121" s="101"/>
      <c r="AA121" s="298" t="s">
        <v>180</v>
      </c>
      <c r="AQ121" s="105"/>
      <c r="AR121" s="127"/>
    </row>
    <row r="122" spans="1:44" s="102" customFormat="1" ht="30">
      <c r="A122" s="87" t="s">
        <v>178</v>
      </c>
      <c r="B122" s="216">
        <v>3</v>
      </c>
      <c r="C122" s="87" t="s">
        <v>182</v>
      </c>
      <c r="D122" s="320">
        <v>1.55</v>
      </c>
      <c r="E122" s="320">
        <v>1.15</v>
      </c>
      <c r="F122" s="320">
        <v>1.5</v>
      </c>
      <c r="G122" s="320">
        <v>1.25</v>
      </c>
      <c r="H122" s="90">
        <v>1</v>
      </c>
      <c r="I122" s="321">
        <v>6</v>
      </c>
      <c r="J122" s="92"/>
      <c r="K122" s="107"/>
      <c r="L122" s="107"/>
      <c r="M122" s="107"/>
      <c r="N122" s="93">
        <v>3</v>
      </c>
      <c r="O122" s="94">
        <v>4</v>
      </c>
      <c r="P122" s="92">
        <v>1</v>
      </c>
      <c r="Q122" s="107">
        <v>24</v>
      </c>
      <c r="R122" s="107">
        <f>207360/1000000</f>
        <v>0.20736</v>
      </c>
      <c r="S122" s="96">
        <v>3</v>
      </c>
      <c r="T122" s="97">
        <v>4</v>
      </c>
      <c r="U122" s="105"/>
      <c r="V122" s="105"/>
      <c r="W122" s="105"/>
      <c r="X122" s="99">
        <f t="shared" si="5"/>
        <v>0.20736</v>
      </c>
      <c r="Y122" s="322" t="s">
        <v>407</v>
      </c>
      <c r="Z122" s="101"/>
      <c r="AA122" s="298" t="s">
        <v>180</v>
      </c>
      <c r="AQ122" s="105" t="s">
        <v>141</v>
      </c>
      <c r="AR122" s="127" t="s">
        <v>141</v>
      </c>
    </row>
    <row r="123" spans="1:44" s="102" customFormat="1" ht="30">
      <c r="A123" s="87" t="s">
        <v>178</v>
      </c>
      <c r="B123" s="216">
        <v>4</v>
      </c>
      <c r="C123" s="87" t="s">
        <v>183</v>
      </c>
      <c r="D123" s="320">
        <v>1.68</v>
      </c>
      <c r="E123" s="320">
        <v>0.94</v>
      </c>
      <c r="F123" s="320">
        <v>1.5</v>
      </c>
      <c r="G123" s="320">
        <v>1</v>
      </c>
      <c r="H123" s="90">
        <v>0.84</v>
      </c>
      <c r="I123" s="321">
        <v>6</v>
      </c>
      <c r="J123" s="92"/>
      <c r="K123" s="107"/>
      <c r="L123" s="107"/>
      <c r="M123" s="107"/>
      <c r="N123" s="93"/>
      <c r="O123" s="94"/>
      <c r="P123" s="105"/>
      <c r="Q123" s="105"/>
      <c r="R123" s="105"/>
      <c r="S123" s="96">
        <v>3</v>
      </c>
      <c r="T123" s="97">
        <v>4</v>
      </c>
      <c r="U123" s="105"/>
      <c r="V123" s="105"/>
      <c r="W123" s="105"/>
      <c r="X123" s="99">
        <f t="shared" si="5"/>
        <v>0</v>
      </c>
      <c r="Y123" s="322"/>
      <c r="Z123" s="101"/>
      <c r="AA123" s="298" t="s">
        <v>180</v>
      </c>
      <c r="AQ123" s="105"/>
      <c r="AR123" s="127"/>
    </row>
    <row r="124" spans="1:44" s="102" customFormat="1" ht="30">
      <c r="A124" s="87" t="s">
        <v>178</v>
      </c>
      <c r="B124" s="216">
        <v>5</v>
      </c>
      <c r="C124" s="87" t="s">
        <v>184</v>
      </c>
      <c r="D124" s="320">
        <v>1.8</v>
      </c>
      <c r="E124" s="320">
        <v>0.8</v>
      </c>
      <c r="F124" s="320">
        <v>1.6</v>
      </c>
      <c r="G124" s="320">
        <v>1</v>
      </c>
      <c r="H124" s="90">
        <v>1</v>
      </c>
      <c r="I124" s="321">
        <v>6</v>
      </c>
      <c r="J124" s="92"/>
      <c r="K124" s="107"/>
      <c r="L124" s="107"/>
      <c r="M124" s="107"/>
      <c r="N124" s="93"/>
      <c r="O124" s="94"/>
      <c r="P124" s="92"/>
      <c r="Q124" s="107"/>
      <c r="R124" s="92"/>
      <c r="S124" s="96">
        <v>3</v>
      </c>
      <c r="T124" s="97">
        <v>4</v>
      </c>
      <c r="U124" s="107"/>
      <c r="V124" s="107"/>
      <c r="W124" s="107"/>
      <c r="X124" s="99">
        <f>M124+R124+W124</f>
        <v>0</v>
      </c>
      <c r="Y124" s="322"/>
      <c r="Z124" s="101"/>
      <c r="AA124" s="298" t="s">
        <v>180</v>
      </c>
      <c r="AQ124" s="105">
        <v>0.153</v>
      </c>
      <c r="AR124" s="127">
        <v>6</v>
      </c>
    </row>
    <row r="125" spans="1:44" s="102" customFormat="1" ht="30">
      <c r="A125" s="87" t="s">
        <v>185</v>
      </c>
      <c r="B125" s="216">
        <v>1</v>
      </c>
      <c r="C125" s="87" t="s">
        <v>186</v>
      </c>
      <c r="D125" s="323">
        <v>1.58</v>
      </c>
      <c r="E125" s="323">
        <v>1.47</v>
      </c>
      <c r="F125" s="323">
        <v>1.56</v>
      </c>
      <c r="G125" s="323">
        <v>1.57</v>
      </c>
      <c r="H125" s="90">
        <v>2</v>
      </c>
      <c r="I125" s="321">
        <v>6</v>
      </c>
      <c r="J125" s="92">
        <v>2</v>
      </c>
      <c r="K125" s="105" t="s">
        <v>133</v>
      </c>
      <c r="L125" s="105">
        <v>7</v>
      </c>
      <c r="M125" s="105">
        <v>0.4</v>
      </c>
      <c r="N125" s="93"/>
      <c r="O125" s="94"/>
      <c r="P125" s="92"/>
      <c r="Q125" s="107"/>
      <c r="R125" s="92"/>
      <c r="S125" s="96"/>
      <c r="T125" s="97"/>
      <c r="U125" s="324"/>
      <c r="V125" s="324"/>
      <c r="W125" s="324"/>
      <c r="X125" s="99">
        <f t="shared" si="5"/>
        <v>0.4</v>
      </c>
      <c r="Y125" s="322" t="s">
        <v>407</v>
      </c>
      <c r="Z125" s="101"/>
      <c r="AA125" s="298" t="s">
        <v>180</v>
      </c>
      <c r="AQ125" s="105"/>
      <c r="AR125" s="127"/>
    </row>
    <row r="126" spans="1:44" s="102" customFormat="1" ht="30">
      <c r="A126" s="87" t="s">
        <v>185</v>
      </c>
      <c r="B126" s="216"/>
      <c r="C126" s="87" t="s">
        <v>187</v>
      </c>
      <c r="D126" s="325"/>
      <c r="E126" s="325"/>
      <c r="F126" s="325"/>
      <c r="G126" s="325"/>
      <c r="H126" s="90">
        <v>1</v>
      </c>
      <c r="I126" s="321">
        <v>6</v>
      </c>
      <c r="J126" s="105"/>
      <c r="K126" s="105"/>
      <c r="L126" s="105"/>
      <c r="M126" s="105"/>
      <c r="N126" s="93"/>
      <c r="O126" s="94"/>
      <c r="P126" s="92"/>
      <c r="Q126" s="107"/>
      <c r="R126" s="92"/>
      <c r="S126" s="96"/>
      <c r="T126" s="97"/>
      <c r="U126" s="92"/>
      <c r="V126" s="107"/>
      <c r="W126" s="107"/>
      <c r="X126" s="99">
        <f t="shared" si="5"/>
        <v>0</v>
      </c>
      <c r="Y126" s="100"/>
      <c r="Z126" s="101"/>
      <c r="AA126" s="298" t="s">
        <v>180</v>
      </c>
      <c r="AQ126" s="105"/>
      <c r="AR126" s="127"/>
    </row>
    <row r="127" spans="1:44" s="102" customFormat="1" ht="30">
      <c r="A127" s="87" t="s">
        <v>185</v>
      </c>
      <c r="B127" s="216"/>
      <c r="C127" s="87" t="s">
        <v>188</v>
      </c>
      <c r="D127" s="325"/>
      <c r="E127" s="325"/>
      <c r="F127" s="325"/>
      <c r="G127" s="325"/>
      <c r="H127" s="90">
        <v>8</v>
      </c>
      <c r="I127" s="321">
        <v>3</v>
      </c>
      <c r="J127" s="105"/>
      <c r="K127" s="105"/>
      <c r="L127" s="105"/>
      <c r="M127" s="105"/>
      <c r="N127" s="93">
        <v>3</v>
      </c>
      <c r="O127" s="94">
        <v>8</v>
      </c>
      <c r="P127" s="105">
        <v>3</v>
      </c>
      <c r="Q127" s="105">
        <v>12</v>
      </c>
      <c r="R127" s="105">
        <v>0.31</v>
      </c>
      <c r="S127" s="96">
        <v>3</v>
      </c>
      <c r="T127" s="97">
        <v>4</v>
      </c>
      <c r="U127" s="105">
        <v>1</v>
      </c>
      <c r="V127" s="105">
        <v>12</v>
      </c>
      <c r="W127" s="105">
        <v>0.13</v>
      </c>
      <c r="X127" s="99">
        <f t="shared" si="5"/>
        <v>0.44</v>
      </c>
      <c r="Y127" s="100" t="s">
        <v>407</v>
      </c>
      <c r="Z127" s="101"/>
      <c r="AA127" s="298" t="s">
        <v>180</v>
      </c>
      <c r="AQ127" s="105">
        <v>0.153</v>
      </c>
      <c r="AR127" s="127">
        <v>4</v>
      </c>
    </row>
    <row r="128" spans="1:44" s="102" customFormat="1" ht="30">
      <c r="A128" s="87" t="s">
        <v>185</v>
      </c>
      <c r="B128" s="216">
        <v>2</v>
      </c>
      <c r="C128" s="87" t="s">
        <v>189</v>
      </c>
      <c r="D128" s="326">
        <v>1.57</v>
      </c>
      <c r="E128" s="323">
        <v>1.55</v>
      </c>
      <c r="F128" s="326">
        <v>1.5</v>
      </c>
      <c r="G128" s="327">
        <v>1.51</v>
      </c>
      <c r="H128" s="90">
        <v>1</v>
      </c>
      <c r="I128" s="321">
        <v>4</v>
      </c>
      <c r="J128" s="105">
        <v>1</v>
      </c>
      <c r="K128" s="105">
        <v>1.5</v>
      </c>
      <c r="L128" s="105">
        <v>15</v>
      </c>
      <c r="M128" s="105">
        <v>0.05</v>
      </c>
      <c r="N128" s="93">
        <v>1</v>
      </c>
      <c r="O128" s="94">
        <v>3</v>
      </c>
      <c r="P128" s="324"/>
      <c r="Q128" s="324"/>
      <c r="R128" s="324"/>
      <c r="S128" s="96">
        <v>3</v>
      </c>
      <c r="T128" s="97">
        <v>2</v>
      </c>
      <c r="U128" s="105"/>
      <c r="V128" s="105"/>
      <c r="W128" s="105"/>
      <c r="X128" s="99">
        <f t="shared" si="5"/>
        <v>0.05</v>
      </c>
      <c r="Y128" s="100" t="s">
        <v>407</v>
      </c>
      <c r="Z128" s="101"/>
      <c r="AA128" s="298" t="s">
        <v>190</v>
      </c>
      <c r="AQ128" s="105"/>
      <c r="AR128" s="127"/>
    </row>
    <row r="129" spans="1:44" s="102" customFormat="1" ht="30">
      <c r="A129" s="87" t="s">
        <v>185</v>
      </c>
      <c r="B129" s="216"/>
      <c r="C129" s="87" t="s">
        <v>189</v>
      </c>
      <c r="D129" s="328"/>
      <c r="E129" s="325"/>
      <c r="F129" s="328"/>
      <c r="G129" s="325"/>
      <c r="H129" s="90"/>
      <c r="I129" s="321"/>
      <c r="J129" s="107"/>
      <c r="K129" s="105"/>
      <c r="L129" s="107"/>
      <c r="M129" s="105"/>
      <c r="N129" s="93"/>
      <c r="O129" s="94"/>
      <c r="P129" s="92"/>
      <c r="Q129" s="107"/>
      <c r="R129" s="92"/>
      <c r="S129" s="96"/>
      <c r="T129" s="97"/>
      <c r="U129" s="324"/>
      <c r="V129" s="324"/>
      <c r="W129" s="324"/>
      <c r="X129" s="99">
        <f t="shared" si="5"/>
        <v>0</v>
      </c>
      <c r="Y129" s="100"/>
      <c r="Z129" s="101"/>
      <c r="AA129" s="298"/>
      <c r="AB129" s="114"/>
      <c r="AC129" s="114"/>
      <c r="AQ129" s="329"/>
      <c r="AR129" s="330"/>
    </row>
    <row r="130" spans="1:44" s="102" customFormat="1" ht="30">
      <c r="A130" s="87" t="s">
        <v>185</v>
      </c>
      <c r="B130" s="216">
        <v>3</v>
      </c>
      <c r="C130" s="87" t="s">
        <v>191</v>
      </c>
      <c r="D130" s="323">
        <v>1.3</v>
      </c>
      <c r="E130" s="323">
        <v>1.3</v>
      </c>
      <c r="F130" s="323">
        <v>1.3</v>
      </c>
      <c r="G130" s="323">
        <v>1.3</v>
      </c>
      <c r="H130" s="90">
        <v>3</v>
      </c>
      <c r="I130" s="153">
        <v>6</v>
      </c>
      <c r="J130" s="105">
        <v>1</v>
      </c>
      <c r="K130" s="105" t="s">
        <v>133</v>
      </c>
      <c r="L130" s="105">
        <v>24</v>
      </c>
      <c r="M130" s="105">
        <v>0.12</v>
      </c>
      <c r="N130" s="93">
        <v>3</v>
      </c>
      <c r="O130" s="94">
        <v>4</v>
      </c>
      <c r="P130" s="105"/>
      <c r="Q130" s="105"/>
      <c r="R130" s="105"/>
      <c r="S130" s="96">
        <v>3</v>
      </c>
      <c r="T130" s="97">
        <v>2</v>
      </c>
      <c r="U130" s="92"/>
      <c r="V130" s="107"/>
      <c r="W130" s="92"/>
      <c r="X130" s="99">
        <f t="shared" si="5"/>
        <v>0.12</v>
      </c>
      <c r="Y130" s="100" t="s">
        <v>407</v>
      </c>
      <c r="Z130" s="101"/>
      <c r="AA130" s="298" t="s">
        <v>190</v>
      </c>
      <c r="AQ130" s="329">
        <v>3</v>
      </c>
      <c r="AR130" s="330">
        <v>2</v>
      </c>
    </row>
    <row r="131" spans="1:44" s="102" customFormat="1" ht="30">
      <c r="A131" s="87" t="s">
        <v>185</v>
      </c>
      <c r="B131" s="216"/>
      <c r="C131" s="87" t="s">
        <v>191</v>
      </c>
      <c r="D131" s="325"/>
      <c r="E131" s="325"/>
      <c r="F131" s="325"/>
      <c r="G131" s="325"/>
      <c r="H131" s="90">
        <v>1</v>
      </c>
      <c r="I131" s="321">
        <v>3</v>
      </c>
      <c r="J131" s="92"/>
      <c r="K131" s="105"/>
      <c r="L131" s="107"/>
      <c r="M131" s="92"/>
      <c r="N131" s="93"/>
      <c r="O131" s="94"/>
      <c r="P131" s="324"/>
      <c r="Q131" s="324"/>
      <c r="R131" s="324"/>
      <c r="S131" s="96"/>
      <c r="T131" s="97"/>
      <c r="U131" s="324"/>
      <c r="V131" s="324"/>
      <c r="W131" s="324"/>
      <c r="X131" s="99">
        <f t="shared" si="5"/>
        <v>0</v>
      </c>
      <c r="Y131" s="100"/>
      <c r="Z131" s="101"/>
      <c r="AA131" s="298"/>
      <c r="AQ131" s="329"/>
      <c r="AR131" s="330"/>
    </row>
    <row r="132" spans="1:44" s="102" customFormat="1" ht="30">
      <c r="A132" s="87" t="s">
        <v>185</v>
      </c>
      <c r="B132" s="216">
        <v>4</v>
      </c>
      <c r="C132" s="87" t="s">
        <v>192</v>
      </c>
      <c r="D132" s="323">
        <v>1.26</v>
      </c>
      <c r="E132" s="323">
        <v>1.15</v>
      </c>
      <c r="F132" s="323">
        <v>1.17</v>
      </c>
      <c r="G132" s="323">
        <v>1.29</v>
      </c>
      <c r="H132" s="90">
        <v>4</v>
      </c>
      <c r="I132" s="321">
        <v>4</v>
      </c>
      <c r="J132" s="105"/>
      <c r="K132" s="105"/>
      <c r="L132" s="105"/>
      <c r="M132" s="105"/>
      <c r="N132" s="93">
        <v>3</v>
      </c>
      <c r="O132" s="94">
        <v>2</v>
      </c>
      <c r="P132" s="324"/>
      <c r="Q132" s="324"/>
      <c r="R132" s="324"/>
      <c r="S132" s="96"/>
      <c r="T132" s="97"/>
      <c r="U132" s="324"/>
      <c r="V132" s="324"/>
      <c r="W132" s="324"/>
      <c r="X132" s="99">
        <f t="shared" si="5"/>
        <v>0</v>
      </c>
      <c r="Y132" s="100"/>
      <c r="Z132" s="101"/>
      <c r="AA132" s="298" t="s">
        <v>190</v>
      </c>
      <c r="AQ132" s="331"/>
      <c r="AR132" s="332"/>
    </row>
    <row r="133" spans="1:44" s="102" customFormat="1" ht="30">
      <c r="A133" s="87" t="s">
        <v>185</v>
      </c>
      <c r="B133" s="216"/>
      <c r="C133" s="87" t="s">
        <v>192</v>
      </c>
      <c r="D133" s="325"/>
      <c r="E133" s="325"/>
      <c r="F133" s="325"/>
      <c r="G133" s="325"/>
      <c r="H133" s="90">
        <v>1</v>
      </c>
      <c r="I133" s="321">
        <v>3</v>
      </c>
      <c r="J133" s="107"/>
      <c r="K133" s="105"/>
      <c r="L133" s="107"/>
      <c r="M133" s="107"/>
      <c r="N133" s="93"/>
      <c r="O133" s="94"/>
      <c r="P133" s="107"/>
      <c r="Q133" s="107"/>
      <c r="R133" s="92"/>
      <c r="S133" s="96"/>
      <c r="T133" s="97"/>
      <c r="U133" s="324"/>
      <c r="V133" s="324"/>
      <c r="W133" s="324"/>
      <c r="X133" s="99">
        <f t="shared" si="5"/>
        <v>0</v>
      </c>
      <c r="Y133" s="322"/>
      <c r="Z133" s="101"/>
      <c r="AA133" s="298"/>
      <c r="AQ133" s="329">
        <v>0.3</v>
      </c>
      <c r="AR133" s="332">
        <v>4</v>
      </c>
    </row>
    <row r="134" spans="1:44" s="102" customFormat="1" ht="30">
      <c r="A134" s="87" t="s">
        <v>185</v>
      </c>
      <c r="B134" s="216">
        <v>5</v>
      </c>
      <c r="C134" s="87" t="s">
        <v>193</v>
      </c>
      <c r="D134" s="333">
        <v>1.25</v>
      </c>
      <c r="E134" s="333">
        <v>1.06</v>
      </c>
      <c r="F134" s="333">
        <v>1.16</v>
      </c>
      <c r="G134" s="333">
        <v>1.13</v>
      </c>
      <c r="H134" s="90">
        <v>2</v>
      </c>
      <c r="I134" s="321">
        <v>3</v>
      </c>
      <c r="J134" s="105"/>
      <c r="K134" s="105"/>
      <c r="L134" s="105"/>
      <c r="M134" s="105"/>
      <c r="N134" s="93"/>
      <c r="O134" s="94"/>
      <c r="P134" s="92"/>
      <c r="Q134" s="107"/>
      <c r="R134" s="324"/>
      <c r="S134" s="96"/>
      <c r="T134" s="97"/>
      <c r="U134" s="324"/>
      <c r="V134" s="324"/>
      <c r="W134" s="324"/>
      <c r="X134" s="99">
        <f aca="true" t="shared" si="6" ref="X134:X197">M134+R134+W134</f>
        <v>0</v>
      </c>
      <c r="Y134" s="100"/>
      <c r="Z134" s="101"/>
      <c r="AA134" s="298"/>
      <c r="AQ134" s="329"/>
      <c r="AR134" s="332"/>
    </row>
    <row r="135" spans="1:44" s="102" customFormat="1" ht="30">
      <c r="A135" s="87" t="s">
        <v>185</v>
      </c>
      <c r="B135" s="216"/>
      <c r="C135" s="87" t="s">
        <v>193</v>
      </c>
      <c r="D135" s="89"/>
      <c r="E135" s="89"/>
      <c r="F135" s="334"/>
      <c r="G135" s="89"/>
      <c r="H135" s="90">
        <v>1</v>
      </c>
      <c r="I135" s="321"/>
      <c r="J135" s="107"/>
      <c r="K135" s="107"/>
      <c r="L135" s="107"/>
      <c r="M135" s="107"/>
      <c r="N135" s="93"/>
      <c r="O135" s="94"/>
      <c r="P135" s="92"/>
      <c r="Q135" s="107"/>
      <c r="R135" s="92"/>
      <c r="S135" s="96"/>
      <c r="T135" s="97"/>
      <c r="U135" s="324"/>
      <c r="V135" s="324"/>
      <c r="W135" s="324"/>
      <c r="X135" s="99">
        <f t="shared" si="6"/>
        <v>0</v>
      </c>
      <c r="Y135" s="100"/>
      <c r="Z135" s="101"/>
      <c r="AA135" s="298" t="s">
        <v>190</v>
      </c>
      <c r="AQ135" s="329">
        <v>2</v>
      </c>
      <c r="AR135" s="332">
        <v>1</v>
      </c>
    </row>
    <row r="136" spans="1:44" s="102" customFormat="1" ht="24.75" customHeight="1">
      <c r="A136" s="87" t="s">
        <v>194</v>
      </c>
      <c r="B136" s="216">
        <v>1</v>
      </c>
      <c r="C136" s="87" t="s">
        <v>195</v>
      </c>
      <c r="D136" s="335"/>
      <c r="E136" s="335"/>
      <c r="F136" s="335"/>
      <c r="G136" s="335"/>
      <c r="H136" s="336"/>
      <c r="I136" s="337"/>
      <c r="J136" s="324"/>
      <c r="K136" s="324"/>
      <c r="L136" s="107"/>
      <c r="M136" s="107"/>
      <c r="N136" s="338">
        <v>3</v>
      </c>
      <c r="O136" s="94">
        <v>8</v>
      </c>
      <c r="P136" s="105">
        <v>1</v>
      </c>
      <c r="Q136" s="105">
        <v>24</v>
      </c>
      <c r="R136" s="105">
        <v>0.2592</v>
      </c>
      <c r="S136" s="339"/>
      <c r="T136" s="340"/>
      <c r="U136" s="341"/>
      <c r="V136" s="341"/>
      <c r="W136" s="324"/>
      <c r="X136" s="99">
        <f t="shared" si="6"/>
        <v>0.2592</v>
      </c>
      <c r="Y136" s="100" t="s">
        <v>407</v>
      </c>
      <c r="Z136" s="101"/>
      <c r="AA136" s="298"/>
      <c r="AQ136" s="329"/>
      <c r="AR136" s="332"/>
    </row>
    <row r="137" spans="1:44" s="102" customFormat="1" ht="24.75" customHeight="1">
      <c r="A137" s="87" t="s">
        <v>194</v>
      </c>
      <c r="B137" s="216"/>
      <c r="C137" s="87" t="s">
        <v>196</v>
      </c>
      <c r="D137" s="89"/>
      <c r="E137" s="89"/>
      <c r="F137" s="89"/>
      <c r="G137" s="89"/>
      <c r="H137" s="336"/>
      <c r="I137" s="337"/>
      <c r="J137" s="92"/>
      <c r="K137" s="324"/>
      <c r="L137" s="107"/>
      <c r="M137" s="107"/>
      <c r="N137" s="338"/>
      <c r="O137" s="94"/>
      <c r="P137" s="341"/>
      <c r="Q137" s="341"/>
      <c r="R137" s="92"/>
      <c r="S137" s="339">
        <v>3</v>
      </c>
      <c r="T137" s="340">
        <v>4</v>
      </c>
      <c r="U137" s="341"/>
      <c r="V137" s="107"/>
      <c r="W137" s="341"/>
      <c r="X137" s="99">
        <f t="shared" si="6"/>
        <v>0</v>
      </c>
      <c r="Y137" s="100"/>
      <c r="Z137" s="101"/>
      <c r="AA137" s="298"/>
      <c r="AQ137" s="329"/>
      <c r="AR137" s="332"/>
    </row>
    <row r="138" spans="1:44" s="102" customFormat="1" ht="30">
      <c r="A138" s="87" t="s">
        <v>194</v>
      </c>
      <c r="B138" s="216"/>
      <c r="C138" s="87" t="s">
        <v>197</v>
      </c>
      <c r="D138" s="89">
        <v>1.35</v>
      </c>
      <c r="E138" s="89">
        <v>0.98</v>
      </c>
      <c r="F138" s="89">
        <v>1.15</v>
      </c>
      <c r="G138" s="89">
        <v>1.05</v>
      </c>
      <c r="H138" s="336">
        <v>1</v>
      </c>
      <c r="I138" s="337">
        <v>6</v>
      </c>
      <c r="J138" s="92"/>
      <c r="K138" s="151"/>
      <c r="L138" s="151"/>
      <c r="M138" s="151"/>
      <c r="N138" s="338"/>
      <c r="O138" s="94"/>
      <c r="P138" s="341">
        <v>1</v>
      </c>
      <c r="Q138" s="341">
        <v>24</v>
      </c>
      <c r="R138" s="92">
        <v>0.2592</v>
      </c>
      <c r="S138" s="339"/>
      <c r="T138" s="340"/>
      <c r="U138" s="341"/>
      <c r="V138" s="107"/>
      <c r="W138" s="341"/>
      <c r="X138" s="99">
        <f t="shared" si="6"/>
        <v>0.2592</v>
      </c>
      <c r="Y138" s="100" t="s">
        <v>407</v>
      </c>
      <c r="Z138" s="101"/>
      <c r="AA138" s="298" t="s">
        <v>190</v>
      </c>
      <c r="AQ138" s="329">
        <v>0.3</v>
      </c>
      <c r="AR138" s="332">
        <v>1</v>
      </c>
    </row>
    <row r="139" spans="1:44" s="102" customFormat="1" ht="24.75" customHeight="1">
      <c r="A139" s="87" t="s">
        <v>194</v>
      </c>
      <c r="B139" s="216">
        <v>2</v>
      </c>
      <c r="C139" s="87" t="s">
        <v>198</v>
      </c>
      <c r="D139" s="89"/>
      <c r="E139" s="89"/>
      <c r="F139" s="89"/>
      <c r="G139" s="89"/>
      <c r="H139" s="336">
        <v>1</v>
      </c>
      <c r="I139" s="337">
        <v>4</v>
      </c>
      <c r="J139" s="92"/>
      <c r="K139" s="324"/>
      <c r="L139" s="107"/>
      <c r="M139" s="107"/>
      <c r="N139" s="338"/>
      <c r="O139" s="94"/>
      <c r="P139" s="341"/>
      <c r="Q139" s="341"/>
      <c r="R139" s="92"/>
      <c r="S139" s="339"/>
      <c r="T139" s="340"/>
      <c r="U139" s="341"/>
      <c r="V139" s="107"/>
      <c r="W139" s="341"/>
      <c r="X139" s="99">
        <f t="shared" si="6"/>
        <v>0</v>
      </c>
      <c r="Y139" s="100"/>
      <c r="Z139" s="101"/>
      <c r="AA139" s="298" t="s">
        <v>190</v>
      </c>
      <c r="AQ139" s="329"/>
      <c r="AR139" s="332"/>
    </row>
    <row r="140" spans="1:44" s="102" customFormat="1" ht="30">
      <c r="A140" s="87" t="s">
        <v>194</v>
      </c>
      <c r="B140" s="216">
        <v>3</v>
      </c>
      <c r="C140" s="87" t="s">
        <v>200</v>
      </c>
      <c r="D140" s="89">
        <v>1.45</v>
      </c>
      <c r="E140" s="89">
        <v>1</v>
      </c>
      <c r="F140" s="89">
        <v>1.21</v>
      </c>
      <c r="G140" s="89">
        <v>1.04</v>
      </c>
      <c r="H140" s="336">
        <v>2</v>
      </c>
      <c r="I140" s="337">
        <v>6</v>
      </c>
      <c r="J140" s="92"/>
      <c r="K140" s="151"/>
      <c r="L140" s="151"/>
      <c r="M140" s="151"/>
      <c r="N140" s="338"/>
      <c r="O140" s="94"/>
      <c r="P140" s="341">
        <v>1</v>
      </c>
      <c r="Q140" s="341">
        <v>24</v>
      </c>
      <c r="R140" s="92">
        <v>0.2592</v>
      </c>
      <c r="S140" s="339"/>
      <c r="T140" s="340"/>
      <c r="U140" s="341"/>
      <c r="V140" s="107"/>
      <c r="W140" s="341"/>
      <c r="X140" s="99">
        <f t="shared" si="6"/>
        <v>0.2592</v>
      </c>
      <c r="Y140" s="100" t="s">
        <v>407</v>
      </c>
      <c r="Z140" s="101"/>
      <c r="AA140" s="298"/>
      <c r="AQ140" s="329"/>
      <c r="AR140" s="332"/>
    </row>
    <row r="141" spans="1:44" s="102" customFormat="1" ht="24.75" customHeight="1">
      <c r="A141" s="87" t="s">
        <v>194</v>
      </c>
      <c r="B141" s="216"/>
      <c r="C141" s="87" t="s">
        <v>201</v>
      </c>
      <c r="D141" s="89"/>
      <c r="E141" s="89"/>
      <c r="F141" s="89"/>
      <c r="G141" s="89"/>
      <c r="H141" s="336"/>
      <c r="I141" s="337"/>
      <c r="J141" s="92"/>
      <c r="K141" s="324"/>
      <c r="L141" s="107"/>
      <c r="M141" s="107"/>
      <c r="N141" s="338">
        <v>3</v>
      </c>
      <c r="O141" s="94">
        <v>6</v>
      </c>
      <c r="P141" s="341"/>
      <c r="Q141" s="341"/>
      <c r="R141" s="92"/>
      <c r="S141" s="339">
        <v>3</v>
      </c>
      <c r="T141" s="340">
        <v>4</v>
      </c>
      <c r="U141" s="341"/>
      <c r="V141" s="107"/>
      <c r="W141" s="341"/>
      <c r="X141" s="99">
        <f t="shared" si="6"/>
        <v>0</v>
      </c>
      <c r="Y141" s="100"/>
      <c r="Z141" s="101"/>
      <c r="AA141" s="298" t="s">
        <v>199</v>
      </c>
      <c r="AQ141" s="329">
        <v>0.3</v>
      </c>
      <c r="AR141" s="332">
        <v>1</v>
      </c>
    </row>
    <row r="142" spans="1:44" s="102" customFormat="1" ht="24.75" customHeight="1">
      <c r="A142" s="87" t="s">
        <v>194</v>
      </c>
      <c r="B142" s="216">
        <v>4</v>
      </c>
      <c r="C142" s="87" t="s">
        <v>202</v>
      </c>
      <c r="D142" s="89"/>
      <c r="E142" s="89"/>
      <c r="F142" s="89"/>
      <c r="G142" s="89"/>
      <c r="H142" s="336">
        <v>1</v>
      </c>
      <c r="I142" s="337">
        <v>4</v>
      </c>
      <c r="J142" s="92"/>
      <c r="K142" s="324"/>
      <c r="L142" s="107"/>
      <c r="M142" s="107"/>
      <c r="N142" s="338"/>
      <c r="O142" s="94"/>
      <c r="P142" s="341"/>
      <c r="Q142" s="341"/>
      <c r="R142" s="92"/>
      <c r="S142" s="339"/>
      <c r="T142" s="340"/>
      <c r="U142" s="341"/>
      <c r="V142" s="107"/>
      <c r="W142" s="341"/>
      <c r="X142" s="99">
        <f t="shared" si="6"/>
        <v>0</v>
      </c>
      <c r="Y142" s="100"/>
      <c r="Z142" s="101"/>
      <c r="AA142" s="298" t="s">
        <v>199</v>
      </c>
      <c r="AQ142" s="329"/>
      <c r="AR142" s="332"/>
    </row>
    <row r="143" spans="1:44" s="102" customFormat="1" ht="30">
      <c r="A143" s="87" t="s">
        <v>194</v>
      </c>
      <c r="B143" s="216">
        <v>5</v>
      </c>
      <c r="C143" s="87" t="s">
        <v>203</v>
      </c>
      <c r="D143" s="89">
        <v>1.3</v>
      </c>
      <c r="E143" s="89">
        <v>1.03</v>
      </c>
      <c r="F143" s="89">
        <v>1.2</v>
      </c>
      <c r="G143" s="89">
        <v>1.12</v>
      </c>
      <c r="H143" s="336">
        <v>0.69</v>
      </c>
      <c r="I143" s="337">
        <v>6</v>
      </c>
      <c r="J143" s="92"/>
      <c r="K143" s="324"/>
      <c r="L143" s="151"/>
      <c r="M143" s="151"/>
      <c r="N143" s="338"/>
      <c r="O143" s="94"/>
      <c r="P143" s="341"/>
      <c r="Q143" s="341"/>
      <c r="R143" s="92"/>
      <c r="S143" s="339">
        <v>3</v>
      </c>
      <c r="T143" s="340">
        <v>3</v>
      </c>
      <c r="U143" s="341"/>
      <c r="V143" s="107"/>
      <c r="W143" s="341"/>
      <c r="X143" s="99">
        <f t="shared" si="6"/>
        <v>0</v>
      </c>
      <c r="Y143" s="100"/>
      <c r="Z143" s="101"/>
      <c r="AA143" s="298"/>
      <c r="AQ143" s="329">
        <v>0.3</v>
      </c>
      <c r="AR143" s="332">
        <v>1</v>
      </c>
    </row>
    <row r="144" spans="1:44" s="102" customFormat="1" ht="24.75" customHeight="1">
      <c r="A144" s="87" t="s">
        <v>194</v>
      </c>
      <c r="B144" s="216"/>
      <c r="C144" s="87" t="s">
        <v>203</v>
      </c>
      <c r="D144" s="89"/>
      <c r="E144" s="89"/>
      <c r="F144" s="89"/>
      <c r="G144" s="89"/>
      <c r="H144" s="336"/>
      <c r="I144" s="337"/>
      <c r="J144" s="92"/>
      <c r="K144" s="324"/>
      <c r="L144" s="107"/>
      <c r="M144" s="342"/>
      <c r="N144" s="338"/>
      <c r="O144" s="94"/>
      <c r="P144" s="341"/>
      <c r="Q144" s="341"/>
      <c r="R144" s="92"/>
      <c r="S144" s="339"/>
      <c r="T144" s="340"/>
      <c r="U144" s="341"/>
      <c r="V144" s="107"/>
      <c r="W144" s="341"/>
      <c r="X144" s="99">
        <f t="shared" si="6"/>
        <v>0</v>
      </c>
      <c r="Y144" s="100"/>
      <c r="Z144" s="101"/>
      <c r="AA144" s="298" t="s">
        <v>199</v>
      </c>
      <c r="AQ144" s="329">
        <v>0.3</v>
      </c>
      <c r="AR144" s="332">
        <v>2</v>
      </c>
    </row>
    <row r="145" spans="1:44" s="102" customFormat="1" ht="24.75" customHeight="1">
      <c r="A145" s="87" t="s">
        <v>194</v>
      </c>
      <c r="B145" s="216">
        <v>6</v>
      </c>
      <c r="C145" s="87" t="s">
        <v>204</v>
      </c>
      <c r="D145" s="89" t="s">
        <v>141</v>
      </c>
      <c r="E145" s="89" t="s">
        <v>141</v>
      </c>
      <c r="F145" s="89" t="s">
        <v>141</v>
      </c>
      <c r="G145" s="89" t="s">
        <v>141</v>
      </c>
      <c r="H145" s="336">
        <v>1</v>
      </c>
      <c r="I145" s="337">
        <v>6</v>
      </c>
      <c r="J145" s="92"/>
      <c r="K145" s="324"/>
      <c r="L145" s="107"/>
      <c r="M145" s="107"/>
      <c r="N145" s="338"/>
      <c r="O145" s="94"/>
      <c r="P145" s="341"/>
      <c r="Q145" s="341"/>
      <c r="R145" s="92"/>
      <c r="S145" s="339"/>
      <c r="T145" s="340"/>
      <c r="U145" s="341"/>
      <c r="V145" s="107"/>
      <c r="W145" s="341"/>
      <c r="X145" s="99">
        <f t="shared" si="6"/>
        <v>0</v>
      </c>
      <c r="Y145" s="100"/>
      <c r="Z145" s="101"/>
      <c r="AA145" s="298" t="s">
        <v>199</v>
      </c>
      <c r="AQ145" s="329"/>
      <c r="AR145" s="332"/>
    </row>
    <row r="146" spans="1:44" s="102" customFormat="1" ht="24.75" customHeight="1">
      <c r="A146" s="87" t="s">
        <v>194</v>
      </c>
      <c r="B146" s="216">
        <v>7</v>
      </c>
      <c r="C146" s="87" t="s">
        <v>205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6">
        <v>1</v>
      </c>
      <c r="I146" s="337">
        <v>3</v>
      </c>
      <c r="J146" s="92"/>
      <c r="K146" s="324"/>
      <c r="L146" s="107"/>
      <c r="M146" s="107"/>
      <c r="N146" s="338"/>
      <c r="O146" s="94"/>
      <c r="P146" s="341"/>
      <c r="Q146" s="341"/>
      <c r="R146" s="92"/>
      <c r="S146" s="339"/>
      <c r="T146" s="340"/>
      <c r="U146" s="341"/>
      <c r="V146" s="107"/>
      <c r="W146" s="341"/>
      <c r="X146" s="99">
        <f t="shared" si="6"/>
        <v>0</v>
      </c>
      <c r="Y146" s="100"/>
      <c r="Z146" s="101"/>
      <c r="AA146" s="298"/>
      <c r="AQ146" s="329">
        <v>0.5</v>
      </c>
      <c r="AR146" s="332">
        <v>1</v>
      </c>
    </row>
    <row r="147" spans="1:44" s="102" customFormat="1" ht="24.75" customHeight="1">
      <c r="A147" s="87" t="s">
        <v>194</v>
      </c>
      <c r="B147" s="216"/>
      <c r="C147" s="87"/>
      <c r="D147" s="89"/>
      <c r="E147" s="89"/>
      <c r="F147" s="89"/>
      <c r="G147" s="89"/>
      <c r="H147" s="336"/>
      <c r="I147" s="337"/>
      <c r="J147" s="92"/>
      <c r="K147" s="324"/>
      <c r="L147" s="107"/>
      <c r="M147" s="107"/>
      <c r="N147" s="338"/>
      <c r="O147" s="94"/>
      <c r="P147" s="341"/>
      <c r="Q147" s="341"/>
      <c r="R147" s="92"/>
      <c r="S147" s="339"/>
      <c r="T147" s="340"/>
      <c r="U147" s="341"/>
      <c r="V147" s="107"/>
      <c r="W147" s="341"/>
      <c r="X147" s="99">
        <f t="shared" si="6"/>
        <v>0</v>
      </c>
      <c r="Y147" s="100"/>
      <c r="Z147" s="101"/>
      <c r="AA147" s="298" t="s">
        <v>199</v>
      </c>
      <c r="AQ147" s="329">
        <v>0.3</v>
      </c>
      <c r="AR147" s="332">
        <v>1</v>
      </c>
    </row>
    <row r="148" spans="1:44" s="102" customFormat="1" ht="24.75" customHeight="1">
      <c r="A148" s="87" t="s">
        <v>194</v>
      </c>
      <c r="B148" s="216">
        <v>8</v>
      </c>
      <c r="C148" s="87" t="s">
        <v>206</v>
      </c>
      <c r="D148" s="89" t="s">
        <v>141</v>
      </c>
      <c r="E148" s="89" t="s">
        <v>141</v>
      </c>
      <c r="F148" s="89" t="s">
        <v>141</v>
      </c>
      <c r="G148" s="89" t="s">
        <v>141</v>
      </c>
      <c r="H148" s="336">
        <v>1</v>
      </c>
      <c r="I148" s="337">
        <v>3</v>
      </c>
      <c r="J148" s="92"/>
      <c r="K148" s="324"/>
      <c r="L148" s="107"/>
      <c r="M148" s="107"/>
      <c r="N148" s="338"/>
      <c r="O148" s="94"/>
      <c r="P148" s="341"/>
      <c r="Q148" s="341"/>
      <c r="R148" s="92"/>
      <c r="S148" s="339"/>
      <c r="T148" s="340"/>
      <c r="U148" s="341"/>
      <c r="V148" s="107"/>
      <c r="W148" s="341"/>
      <c r="X148" s="99">
        <f t="shared" si="6"/>
        <v>0</v>
      </c>
      <c r="Y148" s="100"/>
      <c r="Z148" s="101"/>
      <c r="AA148" s="298" t="s">
        <v>199</v>
      </c>
      <c r="AQ148" s="329"/>
      <c r="AR148" s="332"/>
    </row>
    <row r="149" spans="1:44" s="102" customFormat="1" ht="24.75" customHeight="1">
      <c r="A149" s="87" t="s">
        <v>194</v>
      </c>
      <c r="B149" s="216">
        <v>9</v>
      </c>
      <c r="C149" s="87" t="s">
        <v>207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6">
        <v>1</v>
      </c>
      <c r="I149" s="337">
        <v>4</v>
      </c>
      <c r="J149" s="92"/>
      <c r="K149" s="324"/>
      <c r="L149" s="107"/>
      <c r="M149" s="107"/>
      <c r="N149" s="338"/>
      <c r="O149" s="94"/>
      <c r="P149" s="341"/>
      <c r="Q149" s="341"/>
      <c r="R149" s="92"/>
      <c r="S149" s="339"/>
      <c r="T149" s="340"/>
      <c r="U149" s="341"/>
      <c r="V149" s="107"/>
      <c r="W149" s="341"/>
      <c r="X149" s="99">
        <f t="shared" si="6"/>
        <v>0</v>
      </c>
      <c r="Y149" s="100"/>
      <c r="Z149" s="101"/>
      <c r="AA149" s="298"/>
      <c r="AQ149" s="329">
        <v>0.1</v>
      </c>
      <c r="AR149" s="332">
        <v>1</v>
      </c>
    </row>
    <row r="150" spans="1:44" s="102" customFormat="1" ht="24.75" customHeight="1">
      <c r="A150" s="87" t="s">
        <v>194</v>
      </c>
      <c r="B150" s="216"/>
      <c r="C150" s="87" t="s">
        <v>207</v>
      </c>
      <c r="D150" s="89"/>
      <c r="E150" s="89"/>
      <c r="F150" s="89"/>
      <c r="G150" s="89"/>
      <c r="H150" s="336"/>
      <c r="I150" s="337"/>
      <c r="J150" s="92"/>
      <c r="K150" s="324"/>
      <c r="L150" s="107"/>
      <c r="M150" s="107"/>
      <c r="N150" s="338"/>
      <c r="O150" s="94"/>
      <c r="P150" s="341"/>
      <c r="Q150" s="341"/>
      <c r="R150" s="92"/>
      <c r="S150" s="339"/>
      <c r="T150" s="340"/>
      <c r="U150" s="341"/>
      <c r="V150" s="107"/>
      <c r="W150" s="341"/>
      <c r="X150" s="99">
        <f t="shared" si="6"/>
        <v>0</v>
      </c>
      <c r="Y150" s="100"/>
      <c r="Z150" s="101"/>
      <c r="AA150" s="298" t="s">
        <v>199</v>
      </c>
      <c r="AQ150" s="329"/>
      <c r="AR150" s="332"/>
    </row>
    <row r="151" spans="1:44" s="102" customFormat="1" ht="24.75" customHeight="1">
      <c r="A151" s="87" t="s">
        <v>194</v>
      </c>
      <c r="B151" s="216">
        <v>10</v>
      </c>
      <c r="C151" s="87" t="s">
        <v>208</v>
      </c>
      <c r="D151" s="89" t="s">
        <v>141</v>
      </c>
      <c r="E151" s="89" t="s">
        <v>141</v>
      </c>
      <c r="F151" s="89" t="s">
        <v>141</v>
      </c>
      <c r="G151" s="89" t="s">
        <v>141</v>
      </c>
      <c r="H151" s="336">
        <v>1</v>
      </c>
      <c r="I151" s="337">
        <v>4</v>
      </c>
      <c r="J151" s="92"/>
      <c r="K151" s="324"/>
      <c r="L151" s="107"/>
      <c r="M151" s="107"/>
      <c r="N151" s="338"/>
      <c r="O151" s="94"/>
      <c r="P151" s="341"/>
      <c r="Q151" s="341"/>
      <c r="R151" s="92"/>
      <c r="S151" s="339"/>
      <c r="T151" s="340"/>
      <c r="U151" s="341"/>
      <c r="V151" s="107"/>
      <c r="W151" s="341"/>
      <c r="X151" s="99">
        <f t="shared" si="6"/>
        <v>0</v>
      </c>
      <c r="Y151" s="100"/>
      <c r="Z151" s="101"/>
      <c r="AA151" s="298" t="s">
        <v>199</v>
      </c>
      <c r="AQ151" s="329">
        <v>0.1</v>
      </c>
      <c r="AR151" s="332">
        <v>2</v>
      </c>
    </row>
    <row r="152" spans="1:44" s="102" customFormat="1" ht="24.75" customHeight="1">
      <c r="A152" s="87" t="s">
        <v>194</v>
      </c>
      <c r="B152" s="216">
        <v>11</v>
      </c>
      <c r="C152" s="87" t="s">
        <v>209</v>
      </c>
      <c r="D152" s="89" t="s">
        <v>141</v>
      </c>
      <c r="E152" s="89" t="s">
        <v>141</v>
      </c>
      <c r="F152" s="89" t="s">
        <v>141</v>
      </c>
      <c r="G152" s="89" t="s">
        <v>141</v>
      </c>
      <c r="H152" s="336">
        <v>1</v>
      </c>
      <c r="I152" s="337">
        <v>4</v>
      </c>
      <c r="J152" s="92"/>
      <c r="K152" s="324"/>
      <c r="L152" s="107"/>
      <c r="M152" s="107"/>
      <c r="N152" s="338"/>
      <c r="O152" s="94"/>
      <c r="P152" s="341"/>
      <c r="Q152" s="341"/>
      <c r="R152" s="92"/>
      <c r="S152" s="339">
        <v>3</v>
      </c>
      <c r="T152" s="340">
        <v>1</v>
      </c>
      <c r="U152" s="341"/>
      <c r="V152" s="107"/>
      <c r="W152" s="341"/>
      <c r="X152" s="99">
        <f t="shared" si="6"/>
        <v>0</v>
      </c>
      <c r="Y152" s="100"/>
      <c r="Z152" s="101"/>
      <c r="AA152" s="298"/>
      <c r="AQ152" s="329"/>
      <c r="AR152" s="332"/>
    </row>
    <row r="153" spans="1:44" s="102" customFormat="1" ht="24.75" customHeight="1">
      <c r="A153" s="87" t="s">
        <v>194</v>
      </c>
      <c r="B153" s="216"/>
      <c r="C153" s="87" t="s">
        <v>209</v>
      </c>
      <c r="D153" s="89"/>
      <c r="E153" s="89"/>
      <c r="F153" s="89"/>
      <c r="G153" s="89"/>
      <c r="H153" s="336"/>
      <c r="I153" s="337"/>
      <c r="J153" s="92"/>
      <c r="K153" s="324"/>
      <c r="L153" s="107"/>
      <c r="M153" s="107"/>
      <c r="N153" s="338"/>
      <c r="O153" s="94"/>
      <c r="P153" s="341"/>
      <c r="Q153" s="341"/>
      <c r="R153" s="92"/>
      <c r="S153" s="339"/>
      <c r="T153" s="340"/>
      <c r="U153" s="341"/>
      <c r="V153" s="107"/>
      <c r="W153" s="341"/>
      <c r="X153" s="99">
        <f t="shared" si="6"/>
        <v>0</v>
      </c>
      <c r="Y153" s="100"/>
      <c r="Z153" s="101"/>
      <c r="AA153" s="298" t="s">
        <v>199</v>
      </c>
      <c r="AQ153" s="329">
        <v>0.3</v>
      </c>
      <c r="AR153" s="332">
        <v>1</v>
      </c>
    </row>
    <row r="154" spans="1:44" s="102" customFormat="1" ht="24.75" customHeight="1">
      <c r="A154" s="87" t="s">
        <v>194</v>
      </c>
      <c r="B154" s="216">
        <v>12</v>
      </c>
      <c r="C154" s="87" t="s">
        <v>210</v>
      </c>
      <c r="D154" s="89" t="s">
        <v>141</v>
      </c>
      <c r="E154" s="89" t="s">
        <v>141</v>
      </c>
      <c r="F154" s="89" t="s">
        <v>141</v>
      </c>
      <c r="G154" s="89" t="s">
        <v>141</v>
      </c>
      <c r="H154" s="336">
        <v>2</v>
      </c>
      <c r="I154" s="337">
        <v>6</v>
      </c>
      <c r="J154" s="92"/>
      <c r="K154" s="324"/>
      <c r="L154" s="107"/>
      <c r="M154" s="107"/>
      <c r="N154" s="338"/>
      <c r="O154" s="94"/>
      <c r="P154" s="341"/>
      <c r="Q154" s="341"/>
      <c r="R154" s="92"/>
      <c r="S154" s="339">
        <v>3</v>
      </c>
      <c r="T154" s="340">
        <v>2</v>
      </c>
      <c r="U154" s="341"/>
      <c r="V154" s="107"/>
      <c r="W154" s="341"/>
      <c r="X154" s="99">
        <f t="shared" si="6"/>
        <v>0</v>
      </c>
      <c r="Y154" s="100"/>
      <c r="Z154" s="101"/>
      <c r="AA154" s="298" t="s">
        <v>199</v>
      </c>
      <c r="AQ154" s="329"/>
      <c r="AR154" s="332"/>
    </row>
    <row r="155" spans="1:44" s="102" customFormat="1" ht="24.75" customHeight="1">
      <c r="A155" s="87" t="s">
        <v>194</v>
      </c>
      <c r="B155" s="216">
        <v>13</v>
      </c>
      <c r="C155" s="87" t="s">
        <v>211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6">
        <v>1</v>
      </c>
      <c r="I155" s="337">
        <v>4</v>
      </c>
      <c r="J155" s="92"/>
      <c r="K155" s="324"/>
      <c r="L155" s="107"/>
      <c r="M155" s="107"/>
      <c r="N155" s="338"/>
      <c r="O155" s="94"/>
      <c r="P155" s="341"/>
      <c r="Q155" s="341"/>
      <c r="R155" s="92"/>
      <c r="S155" s="339"/>
      <c r="T155" s="340"/>
      <c r="U155" s="341"/>
      <c r="V155" s="107"/>
      <c r="W155" s="341"/>
      <c r="X155" s="99">
        <f t="shared" si="6"/>
        <v>0</v>
      </c>
      <c r="Y155" s="100"/>
      <c r="Z155" s="101"/>
      <c r="AA155" s="298"/>
      <c r="AQ155" s="329"/>
      <c r="AR155" s="332"/>
    </row>
    <row r="156" spans="1:44" s="102" customFormat="1" ht="24.75" customHeight="1">
      <c r="A156" s="87" t="s">
        <v>194</v>
      </c>
      <c r="B156" s="216"/>
      <c r="C156" s="87" t="s">
        <v>211</v>
      </c>
      <c r="D156" s="89"/>
      <c r="E156" s="89"/>
      <c r="F156" s="89"/>
      <c r="G156" s="89"/>
      <c r="H156" s="336"/>
      <c r="I156" s="337"/>
      <c r="J156" s="92"/>
      <c r="K156" s="324"/>
      <c r="L156" s="107"/>
      <c r="M156" s="107"/>
      <c r="N156" s="338"/>
      <c r="O156" s="94"/>
      <c r="P156" s="341"/>
      <c r="Q156" s="341"/>
      <c r="R156" s="92"/>
      <c r="S156" s="339"/>
      <c r="T156" s="340"/>
      <c r="U156" s="341"/>
      <c r="V156" s="107"/>
      <c r="W156" s="341"/>
      <c r="X156" s="99">
        <f t="shared" si="6"/>
        <v>0</v>
      </c>
      <c r="Y156" s="100"/>
      <c r="Z156" s="101"/>
      <c r="AA156" s="298" t="s">
        <v>199</v>
      </c>
      <c r="AQ156" s="329">
        <v>0.3</v>
      </c>
      <c r="AR156" s="332">
        <v>2</v>
      </c>
    </row>
    <row r="157" spans="1:44" s="102" customFormat="1" ht="24.75" customHeight="1">
      <c r="A157" s="87" t="s">
        <v>194</v>
      </c>
      <c r="B157" s="216">
        <v>14</v>
      </c>
      <c r="C157" s="87" t="s">
        <v>212</v>
      </c>
      <c r="D157" s="89" t="s">
        <v>141</v>
      </c>
      <c r="E157" s="89" t="s">
        <v>141</v>
      </c>
      <c r="F157" s="89" t="s">
        <v>141</v>
      </c>
      <c r="G157" s="89" t="s">
        <v>141</v>
      </c>
      <c r="H157" s="336">
        <v>1</v>
      </c>
      <c r="I157" s="337">
        <v>3</v>
      </c>
      <c r="J157" s="92"/>
      <c r="K157" s="324"/>
      <c r="L157" s="107"/>
      <c r="M157" s="107"/>
      <c r="N157" s="338"/>
      <c r="O157" s="94"/>
      <c r="P157" s="341"/>
      <c r="Q157" s="341"/>
      <c r="R157" s="92"/>
      <c r="S157" s="339"/>
      <c r="T157" s="340"/>
      <c r="U157" s="341"/>
      <c r="V157" s="107"/>
      <c r="W157" s="341"/>
      <c r="X157" s="99">
        <f t="shared" si="6"/>
        <v>0</v>
      </c>
      <c r="Y157" s="100"/>
      <c r="Z157" s="101"/>
      <c r="AA157" s="298" t="s">
        <v>199</v>
      </c>
      <c r="AQ157" s="329"/>
      <c r="AR157" s="332"/>
    </row>
    <row r="158" spans="1:44" s="102" customFormat="1" ht="24.75" customHeight="1">
      <c r="A158" s="87" t="s">
        <v>194</v>
      </c>
      <c r="B158" s="216">
        <v>15</v>
      </c>
      <c r="C158" s="87" t="s">
        <v>213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6">
        <v>1</v>
      </c>
      <c r="I158" s="337">
        <v>4</v>
      </c>
      <c r="J158" s="92"/>
      <c r="K158" s="324"/>
      <c r="L158" s="107"/>
      <c r="M158" s="107"/>
      <c r="N158" s="338"/>
      <c r="O158" s="94"/>
      <c r="P158" s="341"/>
      <c r="Q158" s="341"/>
      <c r="R158" s="92"/>
      <c r="S158" s="339"/>
      <c r="T158" s="340"/>
      <c r="U158" s="341"/>
      <c r="V158" s="107"/>
      <c r="W158" s="341"/>
      <c r="X158" s="99">
        <f t="shared" si="6"/>
        <v>0</v>
      </c>
      <c r="Y158" s="100"/>
      <c r="Z158" s="101"/>
      <c r="AA158" s="298"/>
      <c r="AQ158" s="329"/>
      <c r="AR158" s="332"/>
    </row>
    <row r="159" spans="1:44" s="102" customFormat="1" ht="24.75" customHeight="1">
      <c r="A159" s="87" t="s">
        <v>194</v>
      </c>
      <c r="B159" s="216">
        <v>16</v>
      </c>
      <c r="C159" s="87" t="s">
        <v>214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6">
        <v>1</v>
      </c>
      <c r="I159" s="337">
        <v>4</v>
      </c>
      <c r="J159" s="92"/>
      <c r="K159" s="324"/>
      <c r="L159" s="107"/>
      <c r="M159" s="107"/>
      <c r="N159" s="338"/>
      <c r="O159" s="94"/>
      <c r="P159" s="341"/>
      <c r="Q159" s="341"/>
      <c r="R159" s="92"/>
      <c r="S159" s="339">
        <v>3</v>
      </c>
      <c r="T159" s="340">
        <v>2</v>
      </c>
      <c r="U159" s="341"/>
      <c r="V159" s="107"/>
      <c r="W159" s="341"/>
      <c r="X159" s="99">
        <f t="shared" si="6"/>
        <v>0</v>
      </c>
      <c r="Y159" s="100"/>
      <c r="Z159" s="101"/>
      <c r="AA159" s="298" t="s">
        <v>199</v>
      </c>
      <c r="AQ159" s="329">
        <v>0.1</v>
      </c>
      <c r="AR159" s="332">
        <v>3</v>
      </c>
    </row>
    <row r="160" spans="1:44" s="102" customFormat="1" ht="24.75" customHeight="1">
      <c r="A160" s="87" t="s">
        <v>194</v>
      </c>
      <c r="B160" s="216">
        <v>17</v>
      </c>
      <c r="C160" s="87" t="s">
        <v>215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6">
        <v>1</v>
      </c>
      <c r="I160" s="337">
        <v>4</v>
      </c>
      <c r="J160" s="92"/>
      <c r="K160" s="324"/>
      <c r="L160" s="107"/>
      <c r="M160" s="107"/>
      <c r="N160" s="338"/>
      <c r="O160" s="94"/>
      <c r="P160" s="341"/>
      <c r="Q160" s="341"/>
      <c r="R160" s="92"/>
      <c r="S160" s="339"/>
      <c r="T160" s="340"/>
      <c r="U160" s="341"/>
      <c r="V160" s="107"/>
      <c r="W160" s="341"/>
      <c r="X160" s="99">
        <f t="shared" si="6"/>
        <v>0</v>
      </c>
      <c r="Y160" s="100"/>
      <c r="Z160" s="101"/>
      <c r="AA160" s="298" t="s">
        <v>199</v>
      </c>
      <c r="AQ160" s="329"/>
      <c r="AR160" s="332"/>
    </row>
    <row r="161" spans="1:44" s="102" customFormat="1" ht="24.75" customHeight="1">
      <c r="A161" s="87" t="s">
        <v>194</v>
      </c>
      <c r="B161" s="216">
        <v>18</v>
      </c>
      <c r="C161" s="87" t="s">
        <v>216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6">
        <v>1</v>
      </c>
      <c r="I161" s="337">
        <v>4</v>
      </c>
      <c r="J161" s="92"/>
      <c r="K161" s="324"/>
      <c r="L161" s="107"/>
      <c r="M161" s="107"/>
      <c r="N161" s="338"/>
      <c r="O161" s="94"/>
      <c r="P161" s="341"/>
      <c r="Q161" s="341"/>
      <c r="R161" s="92"/>
      <c r="S161" s="339"/>
      <c r="T161" s="340"/>
      <c r="U161" s="341"/>
      <c r="V161" s="107"/>
      <c r="W161" s="341"/>
      <c r="X161" s="99">
        <f t="shared" si="6"/>
        <v>0</v>
      </c>
      <c r="Y161" s="100"/>
      <c r="Z161" s="101"/>
      <c r="AA161" s="298" t="s">
        <v>199</v>
      </c>
      <c r="AQ161" s="329">
        <v>3</v>
      </c>
      <c r="AR161" s="332">
        <v>2</v>
      </c>
    </row>
    <row r="162" spans="1:44" s="102" customFormat="1" ht="24.75" customHeight="1">
      <c r="A162" s="87" t="s">
        <v>194</v>
      </c>
      <c r="B162" s="216"/>
      <c r="C162" s="87" t="s">
        <v>216</v>
      </c>
      <c r="D162" s="89"/>
      <c r="E162" s="89"/>
      <c r="F162" s="89"/>
      <c r="G162" s="89"/>
      <c r="H162" s="336"/>
      <c r="I162" s="337"/>
      <c r="J162" s="92"/>
      <c r="K162" s="324"/>
      <c r="L162" s="107"/>
      <c r="M162" s="107"/>
      <c r="N162" s="338"/>
      <c r="O162" s="94"/>
      <c r="P162" s="341"/>
      <c r="Q162" s="341"/>
      <c r="R162" s="92"/>
      <c r="S162" s="339">
        <v>3</v>
      </c>
      <c r="T162" s="340">
        <v>2</v>
      </c>
      <c r="U162" s="341"/>
      <c r="V162" s="107"/>
      <c r="W162" s="341"/>
      <c r="X162" s="99">
        <f t="shared" si="6"/>
        <v>0</v>
      </c>
      <c r="Y162" s="100"/>
      <c r="Z162" s="101"/>
      <c r="AA162" s="298" t="s">
        <v>199</v>
      </c>
      <c r="AQ162" s="329">
        <v>0.3</v>
      </c>
      <c r="AR162" s="332">
        <v>3</v>
      </c>
    </row>
    <row r="163" spans="1:44" s="102" customFormat="1" ht="24.75" customHeight="1">
      <c r="A163" s="87" t="s">
        <v>194</v>
      </c>
      <c r="B163" s="216"/>
      <c r="C163" s="87" t="s">
        <v>216</v>
      </c>
      <c r="D163" s="89"/>
      <c r="E163" s="89"/>
      <c r="F163" s="89"/>
      <c r="G163" s="89"/>
      <c r="H163" s="336"/>
      <c r="I163" s="337"/>
      <c r="J163" s="92"/>
      <c r="K163" s="324"/>
      <c r="L163" s="107"/>
      <c r="M163" s="107"/>
      <c r="N163" s="338"/>
      <c r="O163" s="94"/>
      <c r="P163" s="341"/>
      <c r="Q163" s="341"/>
      <c r="R163" s="92"/>
      <c r="S163" s="339"/>
      <c r="T163" s="340"/>
      <c r="U163" s="341"/>
      <c r="V163" s="107"/>
      <c r="W163" s="341"/>
      <c r="X163" s="99">
        <f t="shared" si="6"/>
        <v>0</v>
      </c>
      <c r="Y163" s="100"/>
      <c r="Z163" s="101"/>
      <c r="AA163" s="298" t="s">
        <v>199</v>
      </c>
      <c r="AQ163" s="329">
        <v>0.12</v>
      </c>
      <c r="AR163" s="332">
        <v>1</v>
      </c>
    </row>
    <row r="164" spans="1:44" s="102" customFormat="1" ht="24.75" customHeight="1">
      <c r="A164" s="87" t="s">
        <v>194</v>
      </c>
      <c r="B164" s="216">
        <v>19</v>
      </c>
      <c r="C164" s="87" t="s">
        <v>217</v>
      </c>
      <c r="D164" s="89" t="s">
        <v>141</v>
      </c>
      <c r="E164" s="89" t="s">
        <v>141</v>
      </c>
      <c r="F164" s="89" t="s">
        <v>141</v>
      </c>
      <c r="G164" s="89" t="s">
        <v>141</v>
      </c>
      <c r="H164" s="336">
        <v>1</v>
      </c>
      <c r="I164" s="337">
        <v>4</v>
      </c>
      <c r="J164" s="92"/>
      <c r="K164" s="324"/>
      <c r="L164" s="107"/>
      <c r="M164" s="107"/>
      <c r="N164" s="338"/>
      <c r="O164" s="94"/>
      <c r="P164" s="341"/>
      <c r="Q164" s="341"/>
      <c r="R164" s="92"/>
      <c r="S164" s="339"/>
      <c r="T164" s="340"/>
      <c r="U164" s="341"/>
      <c r="V164" s="107"/>
      <c r="W164" s="341"/>
      <c r="X164" s="99">
        <f t="shared" si="6"/>
        <v>0</v>
      </c>
      <c r="Y164" s="100"/>
      <c r="Z164" s="101"/>
      <c r="AA164" s="298"/>
      <c r="AQ164" s="329">
        <v>0.1</v>
      </c>
      <c r="AR164" s="332">
        <v>3</v>
      </c>
    </row>
    <row r="165" spans="1:44" s="102" customFormat="1" ht="24.75" customHeight="1">
      <c r="A165" s="87" t="s">
        <v>194</v>
      </c>
      <c r="B165" s="216">
        <v>20</v>
      </c>
      <c r="C165" s="87" t="s">
        <v>218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6">
        <v>1</v>
      </c>
      <c r="I165" s="337">
        <v>2</v>
      </c>
      <c r="J165" s="92"/>
      <c r="K165" s="324"/>
      <c r="L165" s="107"/>
      <c r="M165" s="107"/>
      <c r="N165" s="338"/>
      <c r="O165" s="94"/>
      <c r="P165" s="341"/>
      <c r="Q165" s="341"/>
      <c r="R165" s="92"/>
      <c r="S165" s="339"/>
      <c r="T165" s="340"/>
      <c r="U165" s="341"/>
      <c r="V165" s="107"/>
      <c r="W165" s="341"/>
      <c r="X165" s="99">
        <f t="shared" si="6"/>
        <v>0</v>
      </c>
      <c r="Y165" s="100"/>
      <c r="Z165" s="101"/>
      <c r="AA165" s="298"/>
      <c r="AQ165" s="329"/>
      <c r="AR165" s="332"/>
    </row>
    <row r="166" spans="1:44" s="102" customFormat="1" ht="24.75" customHeight="1">
      <c r="A166" s="87" t="s">
        <v>194</v>
      </c>
      <c r="B166" s="216">
        <v>21</v>
      </c>
      <c r="C166" s="87" t="s">
        <v>219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6">
        <v>1</v>
      </c>
      <c r="I166" s="337">
        <v>4</v>
      </c>
      <c r="J166" s="92"/>
      <c r="K166" s="324"/>
      <c r="L166" s="107"/>
      <c r="M166" s="107"/>
      <c r="N166" s="338"/>
      <c r="O166" s="94"/>
      <c r="P166" s="341"/>
      <c r="Q166" s="341"/>
      <c r="R166" s="92"/>
      <c r="S166" s="339"/>
      <c r="T166" s="340"/>
      <c r="U166" s="341"/>
      <c r="V166" s="107"/>
      <c r="W166" s="341"/>
      <c r="X166" s="99">
        <f t="shared" si="6"/>
        <v>0</v>
      </c>
      <c r="Y166" s="100"/>
      <c r="Z166" s="101"/>
      <c r="AA166" s="298" t="s">
        <v>199</v>
      </c>
      <c r="AQ166" s="329">
        <v>0.1</v>
      </c>
      <c r="AR166" s="332">
        <v>5</v>
      </c>
    </row>
    <row r="167" spans="1:44" s="102" customFormat="1" ht="24.75" customHeight="1">
      <c r="A167" s="87" t="s">
        <v>194</v>
      </c>
      <c r="B167" s="216">
        <v>22</v>
      </c>
      <c r="C167" s="87" t="s">
        <v>220</v>
      </c>
      <c r="D167" s="343" t="s">
        <v>141</v>
      </c>
      <c r="E167" s="343" t="s">
        <v>141</v>
      </c>
      <c r="F167" s="343" t="s">
        <v>141</v>
      </c>
      <c r="G167" s="343" t="s">
        <v>141</v>
      </c>
      <c r="H167" s="336">
        <v>1</v>
      </c>
      <c r="I167" s="344">
        <v>4</v>
      </c>
      <c r="J167" s="105"/>
      <c r="K167" s="105"/>
      <c r="L167" s="105"/>
      <c r="M167" s="105"/>
      <c r="N167" s="338"/>
      <c r="O167" s="94"/>
      <c r="P167" s="341"/>
      <c r="Q167" s="341"/>
      <c r="R167" s="341"/>
      <c r="S167" s="339"/>
      <c r="T167" s="340"/>
      <c r="U167" s="324"/>
      <c r="V167" s="324"/>
      <c r="W167" s="324"/>
      <c r="X167" s="99">
        <f t="shared" si="6"/>
        <v>0</v>
      </c>
      <c r="Y167" s="100"/>
      <c r="Z167" s="101"/>
      <c r="AA167" s="298" t="s">
        <v>199</v>
      </c>
      <c r="AQ167" s="345">
        <v>0.1</v>
      </c>
      <c r="AR167" s="332">
        <v>2</v>
      </c>
    </row>
    <row r="168" spans="1:44" s="102" customFormat="1" ht="24.75" customHeight="1">
      <c r="A168" s="87" t="s">
        <v>194</v>
      </c>
      <c r="B168" s="216">
        <v>23</v>
      </c>
      <c r="C168" s="87" t="s">
        <v>221</v>
      </c>
      <c r="D168" s="343" t="s">
        <v>141</v>
      </c>
      <c r="E168" s="343" t="s">
        <v>141</v>
      </c>
      <c r="F168" s="343" t="s">
        <v>141</v>
      </c>
      <c r="G168" s="343" t="s">
        <v>141</v>
      </c>
      <c r="H168" s="336">
        <v>1</v>
      </c>
      <c r="I168" s="344">
        <v>2.5</v>
      </c>
      <c r="J168" s="105"/>
      <c r="K168" s="105"/>
      <c r="L168" s="105"/>
      <c r="M168" s="105"/>
      <c r="N168" s="338"/>
      <c r="O168" s="94"/>
      <c r="P168" s="341"/>
      <c r="Q168" s="341"/>
      <c r="R168" s="341"/>
      <c r="S168" s="346"/>
      <c r="T168" s="340"/>
      <c r="U168" s="341"/>
      <c r="V168" s="341"/>
      <c r="W168" s="341"/>
      <c r="X168" s="99">
        <f t="shared" si="6"/>
        <v>0</v>
      </c>
      <c r="Y168" s="100"/>
      <c r="Z168" s="101"/>
      <c r="AA168" s="298" t="s">
        <v>199</v>
      </c>
      <c r="AQ168" s="345">
        <v>3</v>
      </c>
      <c r="AR168" s="332">
        <v>3</v>
      </c>
    </row>
    <row r="169" spans="1:44" s="102" customFormat="1" ht="33.75" customHeight="1">
      <c r="A169" s="87" t="s">
        <v>194</v>
      </c>
      <c r="B169" s="216">
        <v>24</v>
      </c>
      <c r="C169" s="87" t="s">
        <v>222</v>
      </c>
      <c r="D169" s="347">
        <v>1.29</v>
      </c>
      <c r="E169" s="347">
        <v>0.95</v>
      </c>
      <c r="F169" s="347">
        <v>1.24</v>
      </c>
      <c r="G169" s="347">
        <v>0.92</v>
      </c>
      <c r="H169" s="336">
        <v>2</v>
      </c>
      <c r="I169" s="344">
        <v>6</v>
      </c>
      <c r="J169" s="92"/>
      <c r="K169" s="341"/>
      <c r="L169" s="341"/>
      <c r="M169" s="341"/>
      <c r="N169" s="338">
        <v>3</v>
      </c>
      <c r="O169" s="94">
        <v>8</v>
      </c>
      <c r="P169" s="92">
        <v>1</v>
      </c>
      <c r="Q169" s="493">
        <v>24</v>
      </c>
      <c r="R169" s="92">
        <v>0.2592</v>
      </c>
      <c r="S169" s="339">
        <v>3</v>
      </c>
      <c r="T169" s="340">
        <v>6</v>
      </c>
      <c r="U169" s="107"/>
      <c r="V169" s="107"/>
      <c r="W169" s="107"/>
      <c r="X169" s="99">
        <f t="shared" si="6"/>
        <v>0.2592</v>
      </c>
      <c r="Y169" s="100" t="s">
        <v>407</v>
      </c>
      <c r="Z169" s="101"/>
      <c r="AA169" s="298" t="s">
        <v>199</v>
      </c>
      <c r="AQ169" s="345">
        <v>0.3</v>
      </c>
      <c r="AR169" s="332">
        <v>3</v>
      </c>
    </row>
    <row r="170" spans="1:44" s="102" customFormat="1" ht="23.25" customHeight="1">
      <c r="A170" s="87" t="s">
        <v>194</v>
      </c>
      <c r="B170" s="216"/>
      <c r="C170" s="87" t="s">
        <v>223</v>
      </c>
      <c r="D170" s="335" t="s">
        <v>387</v>
      </c>
      <c r="E170" s="335"/>
      <c r="F170" s="335" t="s">
        <v>387</v>
      </c>
      <c r="G170" s="335"/>
      <c r="H170" s="336"/>
      <c r="I170" s="344"/>
      <c r="J170" s="107"/>
      <c r="K170" s="107"/>
      <c r="L170" s="107"/>
      <c r="M170" s="107"/>
      <c r="N170" s="338"/>
      <c r="O170" s="94"/>
      <c r="P170" s="92"/>
      <c r="Q170" s="107"/>
      <c r="R170" s="92"/>
      <c r="S170" s="339"/>
      <c r="T170" s="340"/>
      <c r="U170" s="341"/>
      <c r="V170" s="324"/>
      <c r="W170" s="324"/>
      <c r="X170" s="99">
        <f t="shared" si="6"/>
        <v>0</v>
      </c>
      <c r="Y170" s="100"/>
      <c r="Z170" s="101"/>
      <c r="AA170" s="298" t="s">
        <v>199</v>
      </c>
      <c r="AQ170" s="329"/>
      <c r="AR170" s="332"/>
    </row>
    <row r="171" spans="1:44" s="102" customFormat="1" ht="23.25" customHeight="1">
      <c r="A171" s="87" t="s">
        <v>194</v>
      </c>
      <c r="B171" s="216">
        <v>25</v>
      </c>
      <c r="C171" s="87" t="s">
        <v>224</v>
      </c>
      <c r="D171" s="343" t="s">
        <v>141</v>
      </c>
      <c r="E171" s="343" t="s">
        <v>141</v>
      </c>
      <c r="F171" s="343" t="s">
        <v>141</v>
      </c>
      <c r="G171" s="343" t="s">
        <v>141</v>
      </c>
      <c r="H171" s="336">
        <v>1</v>
      </c>
      <c r="I171" s="344">
        <v>3</v>
      </c>
      <c r="J171" s="105"/>
      <c r="K171" s="105"/>
      <c r="L171" s="105"/>
      <c r="M171" s="105"/>
      <c r="N171" s="338"/>
      <c r="O171" s="94"/>
      <c r="P171" s="92"/>
      <c r="Q171" s="341"/>
      <c r="R171" s="341"/>
      <c r="S171" s="339"/>
      <c r="T171" s="340"/>
      <c r="U171" s="324"/>
      <c r="V171" s="324"/>
      <c r="W171" s="324"/>
      <c r="X171" s="99">
        <f t="shared" si="6"/>
        <v>0</v>
      </c>
      <c r="Y171" s="100"/>
      <c r="Z171" s="101"/>
      <c r="AA171" s="298" t="s">
        <v>199</v>
      </c>
      <c r="AB171" s="176"/>
      <c r="AC171" s="176"/>
      <c r="AD171" s="348"/>
      <c r="AE171" s="348"/>
      <c r="AF171" s="176"/>
      <c r="AG171" s="348"/>
      <c r="AI171" s="348"/>
      <c r="AK171" s="348"/>
      <c r="AL171" s="348"/>
      <c r="AQ171" s="349"/>
      <c r="AR171" s="349"/>
    </row>
    <row r="172" spans="1:44" s="102" customFormat="1" ht="23.25" customHeight="1">
      <c r="A172" s="87" t="s">
        <v>194</v>
      </c>
      <c r="B172" s="216"/>
      <c r="C172" s="87" t="s">
        <v>224</v>
      </c>
      <c r="D172" s="335"/>
      <c r="E172" s="335"/>
      <c r="F172" s="335"/>
      <c r="G172" s="335"/>
      <c r="H172" s="336"/>
      <c r="I172" s="344"/>
      <c r="J172" s="107"/>
      <c r="K172" s="107"/>
      <c r="L172" s="107"/>
      <c r="M172" s="341"/>
      <c r="N172" s="338"/>
      <c r="O172" s="94"/>
      <c r="P172" s="92"/>
      <c r="Q172" s="341"/>
      <c r="R172" s="341"/>
      <c r="S172" s="346"/>
      <c r="T172" s="340"/>
      <c r="U172" s="341"/>
      <c r="V172" s="324"/>
      <c r="W172" s="324"/>
      <c r="X172" s="99">
        <f t="shared" si="6"/>
        <v>0</v>
      </c>
      <c r="Y172" s="100"/>
      <c r="Z172" s="101"/>
      <c r="AA172" s="298"/>
      <c r="AQ172" s="349"/>
      <c r="AR172" s="349"/>
    </row>
    <row r="173" spans="1:44" s="102" customFormat="1" ht="23.25" customHeight="1">
      <c r="A173" s="87" t="s">
        <v>194</v>
      </c>
      <c r="B173" s="216">
        <v>26</v>
      </c>
      <c r="C173" s="87" t="s">
        <v>225</v>
      </c>
      <c r="D173" s="343" t="s">
        <v>141</v>
      </c>
      <c r="E173" s="343" t="s">
        <v>141</v>
      </c>
      <c r="F173" s="343" t="s">
        <v>141</v>
      </c>
      <c r="G173" s="343" t="s">
        <v>141</v>
      </c>
      <c r="H173" s="336">
        <v>1</v>
      </c>
      <c r="I173" s="344">
        <v>3</v>
      </c>
      <c r="J173" s="105"/>
      <c r="K173" s="105"/>
      <c r="L173" s="105"/>
      <c r="M173" s="105"/>
      <c r="N173" s="338"/>
      <c r="O173" s="94"/>
      <c r="P173" s="92"/>
      <c r="Q173" s="341"/>
      <c r="R173" s="341"/>
      <c r="S173" s="339">
        <v>3</v>
      </c>
      <c r="T173" s="340">
        <v>1</v>
      </c>
      <c r="U173" s="107"/>
      <c r="V173" s="107"/>
      <c r="W173" s="107"/>
      <c r="X173" s="99">
        <f t="shared" si="6"/>
        <v>0</v>
      </c>
      <c r="Y173" s="100"/>
      <c r="Z173" s="101"/>
      <c r="AA173" s="298" t="s">
        <v>199</v>
      </c>
      <c r="AQ173" s="349"/>
      <c r="AR173" s="349"/>
    </row>
    <row r="174" spans="1:44" s="102" customFormat="1" ht="23.25" customHeight="1">
      <c r="A174" s="87" t="s">
        <v>194</v>
      </c>
      <c r="B174" s="216"/>
      <c r="C174" s="87" t="s">
        <v>225</v>
      </c>
      <c r="D174" s="335"/>
      <c r="E174" s="335"/>
      <c r="F174" s="335"/>
      <c r="G174" s="335"/>
      <c r="H174" s="336"/>
      <c r="I174" s="344"/>
      <c r="J174" s="107"/>
      <c r="K174" s="107"/>
      <c r="L174" s="107"/>
      <c r="M174" s="341"/>
      <c r="N174" s="338"/>
      <c r="O174" s="94"/>
      <c r="P174" s="92"/>
      <c r="Q174" s="341"/>
      <c r="R174" s="341"/>
      <c r="S174" s="339"/>
      <c r="T174" s="340"/>
      <c r="U174" s="341"/>
      <c r="V174" s="324"/>
      <c r="W174" s="324"/>
      <c r="X174" s="99">
        <f t="shared" si="6"/>
        <v>0</v>
      </c>
      <c r="Y174" s="100"/>
      <c r="Z174" s="101"/>
      <c r="AA174" s="298"/>
      <c r="AQ174" s="349"/>
      <c r="AR174" s="349"/>
    </row>
    <row r="175" spans="1:44" s="102" customFormat="1" ht="23.25" customHeight="1">
      <c r="A175" s="87" t="s">
        <v>194</v>
      </c>
      <c r="B175" s="216">
        <v>27</v>
      </c>
      <c r="C175" s="87" t="s">
        <v>227</v>
      </c>
      <c r="D175" s="343" t="s">
        <v>141</v>
      </c>
      <c r="E175" s="343" t="s">
        <v>141</v>
      </c>
      <c r="F175" s="343" t="s">
        <v>141</v>
      </c>
      <c r="G175" s="343" t="s">
        <v>141</v>
      </c>
      <c r="H175" s="336">
        <v>1</v>
      </c>
      <c r="I175" s="344">
        <v>3</v>
      </c>
      <c r="J175" s="105"/>
      <c r="K175" s="105"/>
      <c r="L175" s="105"/>
      <c r="M175" s="105"/>
      <c r="N175" s="338"/>
      <c r="O175" s="94"/>
      <c r="P175" s="92"/>
      <c r="Q175" s="341"/>
      <c r="R175" s="341"/>
      <c r="S175" s="339"/>
      <c r="T175" s="340"/>
      <c r="U175" s="341"/>
      <c r="V175" s="324"/>
      <c r="W175" s="324"/>
      <c r="X175" s="99">
        <f t="shared" si="6"/>
        <v>0</v>
      </c>
      <c r="Y175" s="100"/>
      <c r="Z175" s="101"/>
      <c r="AA175" s="298" t="s">
        <v>199</v>
      </c>
      <c r="AQ175" s="349" t="s">
        <v>226</v>
      </c>
      <c r="AR175" s="349">
        <v>2</v>
      </c>
    </row>
    <row r="176" spans="1:44" s="102" customFormat="1" ht="23.25" customHeight="1">
      <c r="A176" s="87" t="s">
        <v>194</v>
      </c>
      <c r="B176" s="216">
        <v>28</v>
      </c>
      <c r="C176" s="87" t="s">
        <v>228</v>
      </c>
      <c r="D176" s="335"/>
      <c r="E176" s="335"/>
      <c r="F176" s="335"/>
      <c r="G176" s="335"/>
      <c r="H176" s="336"/>
      <c r="I176" s="344" t="s">
        <v>229</v>
      </c>
      <c r="J176" s="324"/>
      <c r="K176" s="324"/>
      <c r="L176" s="107"/>
      <c r="M176" s="105"/>
      <c r="N176" s="338">
        <v>6</v>
      </c>
      <c r="O176" s="94">
        <v>6</v>
      </c>
      <c r="P176" s="105">
        <v>1</v>
      </c>
      <c r="Q176" s="350">
        <v>24</v>
      </c>
      <c r="R176" s="105">
        <v>0.5184</v>
      </c>
      <c r="S176" s="339"/>
      <c r="T176" s="340"/>
      <c r="U176" s="341"/>
      <c r="V176" s="107"/>
      <c r="W176" s="324"/>
      <c r="X176" s="99">
        <f t="shared" si="6"/>
        <v>0.5184</v>
      </c>
      <c r="Y176" s="100" t="s">
        <v>407</v>
      </c>
      <c r="Z176" s="101"/>
      <c r="AA176" s="298"/>
      <c r="AQ176" s="349"/>
      <c r="AR176" s="349"/>
    </row>
    <row r="177" spans="1:44" s="102" customFormat="1" ht="33" customHeight="1">
      <c r="A177" s="87" t="s">
        <v>194</v>
      </c>
      <c r="B177" s="216"/>
      <c r="C177" s="87" t="s">
        <v>231</v>
      </c>
      <c r="D177" s="347">
        <v>1.34</v>
      </c>
      <c r="E177" s="347">
        <v>0.9</v>
      </c>
      <c r="F177" s="347">
        <v>1.23</v>
      </c>
      <c r="G177" s="347">
        <v>0.92</v>
      </c>
      <c r="H177" s="336">
        <v>1</v>
      </c>
      <c r="I177" s="344">
        <v>6</v>
      </c>
      <c r="J177" s="92"/>
      <c r="K177" s="341"/>
      <c r="L177" s="341"/>
      <c r="M177" s="341"/>
      <c r="N177" s="338"/>
      <c r="O177" s="94"/>
      <c r="P177" s="92"/>
      <c r="Q177" s="341"/>
      <c r="R177" s="341"/>
      <c r="S177" s="339"/>
      <c r="T177" s="340"/>
      <c r="U177" s="324"/>
      <c r="V177" s="324"/>
      <c r="W177" s="324"/>
      <c r="X177" s="99">
        <f t="shared" si="6"/>
        <v>0</v>
      </c>
      <c r="Y177" s="100"/>
      <c r="Z177" s="101"/>
      <c r="AA177" s="298" t="s">
        <v>199</v>
      </c>
      <c r="AQ177" s="126"/>
      <c r="AR177" s="127"/>
    </row>
    <row r="178" spans="1:44" s="102" customFormat="1" ht="23.25" customHeight="1">
      <c r="A178" s="87" t="s">
        <v>194</v>
      </c>
      <c r="B178" s="216"/>
      <c r="C178" s="87" t="s">
        <v>232</v>
      </c>
      <c r="D178" s="335"/>
      <c r="E178" s="335"/>
      <c r="F178" s="335"/>
      <c r="G178" s="335"/>
      <c r="H178" s="336"/>
      <c r="I178" s="344"/>
      <c r="J178" s="324"/>
      <c r="K178" s="324"/>
      <c r="L178" s="107"/>
      <c r="M178" s="341"/>
      <c r="N178" s="338"/>
      <c r="O178" s="94"/>
      <c r="P178" s="92"/>
      <c r="Q178" s="341"/>
      <c r="R178" s="341"/>
      <c r="S178" s="339">
        <v>3</v>
      </c>
      <c r="T178" s="340">
        <v>4</v>
      </c>
      <c r="U178" s="105"/>
      <c r="V178" s="107"/>
      <c r="W178" s="341"/>
      <c r="X178" s="99">
        <f t="shared" si="6"/>
        <v>0</v>
      </c>
      <c r="Y178" s="100"/>
      <c r="Z178" s="101"/>
      <c r="AA178" s="298" t="s">
        <v>199</v>
      </c>
      <c r="AQ178" s="349" t="s">
        <v>230</v>
      </c>
      <c r="AR178" s="127">
        <v>4</v>
      </c>
    </row>
    <row r="179" spans="1:44" s="102" customFormat="1" ht="23.25" customHeight="1">
      <c r="A179" s="87" t="s">
        <v>194</v>
      </c>
      <c r="B179" s="216">
        <v>29</v>
      </c>
      <c r="C179" s="87" t="s">
        <v>233</v>
      </c>
      <c r="D179" s="335"/>
      <c r="E179" s="335"/>
      <c r="F179" s="335"/>
      <c r="G179" s="335"/>
      <c r="H179" s="336"/>
      <c r="I179" s="344"/>
      <c r="J179" s="324"/>
      <c r="K179" s="324"/>
      <c r="L179" s="107"/>
      <c r="M179" s="341"/>
      <c r="N179" s="338"/>
      <c r="O179" s="94" t="s">
        <v>229</v>
      </c>
      <c r="P179" s="92"/>
      <c r="Q179" s="341"/>
      <c r="R179" s="341"/>
      <c r="S179" s="339">
        <v>3</v>
      </c>
      <c r="T179" s="340">
        <v>2</v>
      </c>
      <c r="U179" s="107"/>
      <c r="V179" s="107"/>
      <c r="W179" s="107"/>
      <c r="X179" s="99">
        <f t="shared" si="6"/>
        <v>0</v>
      </c>
      <c r="Y179" s="501"/>
      <c r="Z179" s="101"/>
      <c r="AA179" s="298"/>
      <c r="AQ179" s="126"/>
      <c r="AR179" s="127"/>
    </row>
    <row r="180" spans="1:44" s="102" customFormat="1" ht="23.25" customHeight="1">
      <c r="A180" s="87" t="s">
        <v>234</v>
      </c>
      <c r="B180" s="216">
        <v>1</v>
      </c>
      <c r="C180" s="87" t="s">
        <v>235</v>
      </c>
      <c r="D180" s="351">
        <v>0.72</v>
      </c>
      <c r="E180" s="351">
        <v>1.14</v>
      </c>
      <c r="F180" s="351">
        <v>0.7</v>
      </c>
      <c r="G180" s="351">
        <v>1.14</v>
      </c>
      <c r="H180" s="336">
        <v>1</v>
      </c>
      <c r="I180" s="344">
        <v>3</v>
      </c>
      <c r="J180" s="324"/>
      <c r="K180" s="324"/>
      <c r="L180" s="324"/>
      <c r="M180" s="324"/>
      <c r="N180" s="93">
        <v>1</v>
      </c>
      <c r="O180" s="94">
        <v>2</v>
      </c>
      <c r="P180" s="92"/>
      <c r="Q180" s="107"/>
      <c r="R180" s="341"/>
      <c r="S180" s="174"/>
      <c r="T180" s="352"/>
      <c r="U180" s="107"/>
      <c r="V180" s="107"/>
      <c r="W180" s="107"/>
      <c r="X180" s="99">
        <f t="shared" si="6"/>
        <v>0</v>
      </c>
      <c r="Y180" s="100"/>
      <c r="Z180" s="101"/>
      <c r="AA180" s="298"/>
      <c r="AQ180" s="126"/>
      <c r="AR180" s="127"/>
    </row>
    <row r="181" spans="1:44" s="102" customFormat="1" ht="23.25" customHeight="1">
      <c r="A181" s="87" t="s">
        <v>234</v>
      </c>
      <c r="B181" s="216">
        <v>2</v>
      </c>
      <c r="C181" s="87" t="s">
        <v>238</v>
      </c>
      <c r="D181" s="351">
        <v>0.73</v>
      </c>
      <c r="E181" s="351">
        <v>1.12</v>
      </c>
      <c r="F181" s="351">
        <v>0.71</v>
      </c>
      <c r="G181" s="351">
        <v>1.13</v>
      </c>
      <c r="H181" s="336">
        <v>1</v>
      </c>
      <c r="I181" s="344">
        <v>3</v>
      </c>
      <c r="J181" s="324"/>
      <c r="K181" s="324"/>
      <c r="L181" s="324"/>
      <c r="M181" s="324"/>
      <c r="N181" s="93">
        <v>1</v>
      </c>
      <c r="O181" s="94">
        <v>2</v>
      </c>
      <c r="P181" s="92"/>
      <c r="Q181" s="107"/>
      <c r="R181" s="341"/>
      <c r="S181" s="174"/>
      <c r="T181" s="352"/>
      <c r="U181" s="107"/>
      <c r="V181" s="107"/>
      <c r="W181" s="107"/>
      <c r="X181" s="99">
        <f t="shared" si="6"/>
        <v>0</v>
      </c>
      <c r="Y181" s="100"/>
      <c r="Z181" s="101"/>
      <c r="AA181" s="298"/>
      <c r="AQ181" s="126" t="s">
        <v>226</v>
      </c>
      <c r="AR181" s="127">
        <v>2</v>
      </c>
    </row>
    <row r="182" spans="1:54" s="102" customFormat="1" ht="23.25" customHeight="1">
      <c r="A182" s="87" t="s">
        <v>234</v>
      </c>
      <c r="B182" s="216">
        <v>3</v>
      </c>
      <c r="C182" s="87" t="s">
        <v>240</v>
      </c>
      <c r="D182" s="351">
        <v>0.74</v>
      </c>
      <c r="E182" s="351">
        <v>1.1</v>
      </c>
      <c r="F182" s="351">
        <v>0.72</v>
      </c>
      <c r="G182" s="351">
        <v>1.11</v>
      </c>
      <c r="H182" s="336">
        <v>1</v>
      </c>
      <c r="I182" s="344">
        <v>3</v>
      </c>
      <c r="J182" s="324"/>
      <c r="K182" s="324"/>
      <c r="L182" s="324"/>
      <c r="M182" s="324"/>
      <c r="N182" s="93">
        <v>1</v>
      </c>
      <c r="O182" s="94">
        <v>2</v>
      </c>
      <c r="P182" s="92"/>
      <c r="Q182" s="107"/>
      <c r="R182" s="341"/>
      <c r="S182" s="174"/>
      <c r="T182" s="352"/>
      <c r="U182" s="107"/>
      <c r="V182" s="107"/>
      <c r="W182" s="107"/>
      <c r="X182" s="99">
        <f t="shared" si="6"/>
        <v>0</v>
      </c>
      <c r="Y182" s="100"/>
      <c r="Z182" s="101"/>
      <c r="AA182" s="298" t="s">
        <v>236</v>
      </c>
      <c r="AB182" s="206"/>
      <c r="AC182" s="206"/>
      <c r="AD182" s="353"/>
      <c r="AE182" s="353"/>
      <c r="AF182" s="353"/>
      <c r="AG182" s="354"/>
      <c r="AH182" s="353"/>
      <c r="AI182" s="206"/>
      <c r="AJ182" s="206"/>
      <c r="AK182" s="206"/>
      <c r="AL182" s="206"/>
      <c r="AM182" s="206"/>
      <c r="AN182" s="206"/>
      <c r="AO182" s="206"/>
      <c r="AP182" s="206"/>
      <c r="AQ182" s="141" t="s">
        <v>237</v>
      </c>
      <c r="AR182" s="207">
        <v>3</v>
      </c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</row>
    <row r="183" spans="1:44" s="102" customFormat="1" ht="23.25" customHeight="1">
      <c r="A183" s="87" t="s">
        <v>234</v>
      </c>
      <c r="B183" s="216">
        <v>4</v>
      </c>
      <c r="C183" s="87" t="s">
        <v>241</v>
      </c>
      <c r="D183" s="351">
        <v>0.75</v>
      </c>
      <c r="E183" s="351">
        <v>1.08</v>
      </c>
      <c r="F183" s="351">
        <v>0.73</v>
      </c>
      <c r="G183" s="351">
        <v>1.09</v>
      </c>
      <c r="H183" s="336">
        <v>1</v>
      </c>
      <c r="I183" s="344">
        <v>3</v>
      </c>
      <c r="J183" s="324"/>
      <c r="K183" s="324"/>
      <c r="L183" s="324"/>
      <c r="M183" s="324"/>
      <c r="N183" s="93">
        <v>1</v>
      </c>
      <c r="O183" s="94">
        <v>2</v>
      </c>
      <c r="P183" s="92"/>
      <c r="Q183" s="107"/>
      <c r="R183" s="341"/>
      <c r="S183" s="339">
        <v>3</v>
      </c>
      <c r="T183" s="340">
        <v>2</v>
      </c>
      <c r="U183" s="324"/>
      <c r="V183" s="324"/>
      <c r="W183" s="324"/>
      <c r="X183" s="99">
        <f t="shared" si="6"/>
        <v>0</v>
      </c>
      <c r="Y183" s="100"/>
      <c r="Z183" s="101"/>
      <c r="AA183" s="298" t="s">
        <v>236</v>
      </c>
      <c r="AQ183" s="126" t="s">
        <v>239</v>
      </c>
      <c r="AR183" s="127">
        <v>1</v>
      </c>
    </row>
    <row r="184" spans="1:44" s="102" customFormat="1" ht="23.25" customHeight="1">
      <c r="A184" s="87" t="s">
        <v>234</v>
      </c>
      <c r="B184" s="216">
        <v>5</v>
      </c>
      <c r="C184" s="87" t="s">
        <v>242</v>
      </c>
      <c r="D184" s="351">
        <v>0.76</v>
      </c>
      <c r="E184" s="355">
        <v>1.06</v>
      </c>
      <c r="F184" s="351">
        <v>0.74</v>
      </c>
      <c r="G184" s="355">
        <v>1.07</v>
      </c>
      <c r="H184" s="336">
        <v>2</v>
      </c>
      <c r="I184" s="344">
        <v>2</v>
      </c>
      <c r="J184" s="324"/>
      <c r="K184" s="324"/>
      <c r="L184" s="324"/>
      <c r="M184" s="324"/>
      <c r="N184" s="356">
        <v>1</v>
      </c>
      <c r="O184" s="94">
        <v>4</v>
      </c>
      <c r="P184" s="92"/>
      <c r="Q184" s="107"/>
      <c r="R184" s="341"/>
      <c r="S184" s="339">
        <v>3</v>
      </c>
      <c r="T184" s="340">
        <v>3</v>
      </c>
      <c r="U184" s="324"/>
      <c r="V184" s="324"/>
      <c r="W184" s="324"/>
      <c r="X184" s="99">
        <f t="shared" si="6"/>
        <v>0</v>
      </c>
      <c r="Y184" s="100"/>
      <c r="Z184" s="101"/>
      <c r="AA184" s="298" t="s">
        <v>236</v>
      </c>
      <c r="AQ184" s="126" t="s">
        <v>226</v>
      </c>
      <c r="AR184" s="127">
        <v>2</v>
      </c>
    </row>
    <row r="185" spans="1:44" s="102" customFormat="1" ht="23.25" customHeight="1">
      <c r="A185" s="87" t="s">
        <v>234</v>
      </c>
      <c r="B185" s="216">
        <v>6</v>
      </c>
      <c r="C185" s="87" t="s">
        <v>243</v>
      </c>
      <c r="D185" s="351">
        <v>0.77</v>
      </c>
      <c r="E185" s="351">
        <v>1.04</v>
      </c>
      <c r="F185" s="351">
        <v>0.75</v>
      </c>
      <c r="G185" s="351">
        <v>1.05</v>
      </c>
      <c r="H185" s="336">
        <v>1</v>
      </c>
      <c r="I185" s="344">
        <v>3</v>
      </c>
      <c r="J185" s="324"/>
      <c r="K185" s="324"/>
      <c r="L185" s="324"/>
      <c r="M185" s="324"/>
      <c r="N185" s="93">
        <v>1</v>
      </c>
      <c r="O185" s="94">
        <v>4</v>
      </c>
      <c r="P185" s="92"/>
      <c r="Q185" s="107"/>
      <c r="R185" s="341"/>
      <c r="S185" s="339">
        <v>3</v>
      </c>
      <c r="T185" s="340">
        <v>2</v>
      </c>
      <c r="U185" s="324"/>
      <c r="V185" s="324"/>
      <c r="W185" s="324"/>
      <c r="X185" s="99">
        <f t="shared" si="6"/>
        <v>0</v>
      </c>
      <c r="Y185" s="100"/>
      <c r="Z185" s="101"/>
      <c r="AA185" s="298" t="s">
        <v>236</v>
      </c>
      <c r="AQ185" s="126"/>
      <c r="AR185" s="127"/>
    </row>
    <row r="186" spans="1:44" s="102" customFormat="1" ht="23.25" customHeight="1">
      <c r="A186" s="87" t="s">
        <v>234</v>
      </c>
      <c r="B186" s="216">
        <v>7</v>
      </c>
      <c r="C186" s="87" t="s">
        <v>244</v>
      </c>
      <c r="D186" s="351">
        <v>0.78</v>
      </c>
      <c r="E186" s="351">
        <v>1.02</v>
      </c>
      <c r="F186" s="351">
        <v>0.76</v>
      </c>
      <c r="G186" s="351">
        <v>1.03</v>
      </c>
      <c r="H186" s="336">
        <v>1</v>
      </c>
      <c r="I186" s="344">
        <v>3</v>
      </c>
      <c r="J186" s="324"/>
      <c r="K186" s="324"/>
      <c r="L186" s="324"/>
      <c r="M186" s="324"/>
      <c r="N186" s="93">
        <v>1</v>
      </c>
      <c r="O186" s="94">
        <v>2</v>
      </c>
      <c r="P186" s="92"/>
      <c r="Q186" s="107"/>
      <c r="R186" s="341"/>
      <c r="S186" s="339">
        <v>3</v>
      </c>
      <c r="T186" s="340">
        <v>2</v>
      </c>
      <c r="U186" s="324"/>
      <c r="V186" s="324"/>
      <c r="W186" s="324"/>
      <c r="X186" s="99">
        <f t="shared" si="6"/>
        <v>0</v>
      </c>
      <c r="Y186" s="100"/>
      <c r="Z186" s="101"/>
      <c r="AA186" s="298" t="s">
        <v>236</v>
      </c>
      <c r="AQ186" s="126"/>
      <c r="AR186" s="127"/>
    </row>
    <row r="187" spans="1:44" s="102" customFormat="1" ht="23.25" customHeight="1">
      <c r="A187" s="87" t="s">
        <v>234</v>
      </c>
      <c r="B187" s="216">
        <v>8</v>
      </c>
      <c r="C187" s="87" t="s">
        <v>246</v>
      </c>
      <c r="D187" s="351">
        <v>0.79</v>
      </c>
      <c r="E187" s="351">
        <v>1</v>
      </c>
      <c r="F187" s="351">
        <v>0.77</v>
      </c>
      <c r="G187" s="351">
        <v>1.01</v>
      </c>
      <c r="H187" s="336">
        <v>1</v>
      </c>
      <c r="I187" s="344">
        <v>3</v>
      </c>
      <c r="J187" s="324"/>
      <c r="K187" s="324"/>
      <c r="L187" s="324"/>
      <c r="M187" s="324"/>
      <c r="N187" s="93">
        <v>1</v>
      </c>
      <c r="O187" s="94">
        <v>4</v>
      </c>
      <c r="P187" s="92"/>
      <c r="Q187" s="107"/>
      <c r="R187" s="341"/>
      <c r="S187" s="339">
        <v>3</v>
      </c>
      <c r="T187" s="340">
        <v>2</v>
      </c>
      <c r="U187" s="324"/>
      <c r="V187" s="324"/>
      <c r="W187" s="324"/>
      <c r="X187" s="99">
        <f t="shared" si="6"/>
        <v>0</v>
      </c>
      <c r="Y187" s="100"/>
      <c r="Z187" s="101"/>
      <c r="AA187" s="298" t="s">
        <v>236</v>
      </c>
      <c r="AQ187" s="349"/>
      <c r="AR187" s="349"/>
    </row>
    <row r="188" spans="1:44" s="102" customFormat="1" ht="23.25" customHeight="1">
      <c r="A188" s="87" t="s">
        <v>234</v>
      </c>
      <c r="B188" s="216">
        <v>9</v>
      </c>
      <c r="C188" s="87" t="s">
        <v>248</v>
      </c>
      <c r="D188" s="351">
        <v>0.8</v>
      </c>
      <c r="E188" s="355">
        <v>0.98</v>
      </c>
      <c r="F188" s="351">
        <v>0.78</v>
      </c>
      <c r="G188" s="355">
        <v>0.99</v>
      </c>
      <c r="H188" s="336">
        <v>1</v>
      </c>
      <c r="I188" s="344">
        <v>3</v>
      </c>
      <c r="J188" s="324"/>
      <c r="K188" s="324"/>
      <c r="L188" s="324"/>
      <c r="M188" s="324"/>
      <c r="N188" s="93">
        <v>1</v>
      </c>
      <c r="O188" s="94">
        <v>2</v>
      </c>
      <c r="P188" s="92"/>
      <c r="Q188" s="107"/>
      <c r="R188" s="341"/>
      <c r="S188" s="339">
        <v>3</v>
      </c>
      <c r="T188" s="340">
        <v>1</v>
      </c>
      <c r="U188" s="324"/>
      <c r="V188" s="324"/>
      <c r="W188" s="324"/>
      <c r="X188" s="99">
        <f t="shared" si="6"/>
        <v>0</v>
      </c>
      <c r="Y188" s="100"/>
      <c r="Z188" s="101"/>
      <c r="AA188" s="298" t="s">
        <v>236</v>
      </c>
      <c r="AQ188" s="349" t="s">
        <v>245</v>
      </c>
      <c r="AR188" s="127">
        <v>17</v>
      </c>
    </row>
    <row r="189" spans="1:54" s="102" customFormat="1" ht="23.25" customHeight="1">
      <c r="A189" s="87" t="s">
        <v>234</v>
      </c>
      <c r="B189" s="216">
        <v>10</v>
      </c>
      <c r="C189" s="87" t="s">
        <v>250</v>
      </c>
      <c r="D189" s="351">
        <v>0.81</v>
      </c>
      <c r="E189" s="351">
        <v>0.96</v>
      </c>
      <c r="F189" s="351">
        <v>0.79</v>
      </c>
      <c r="G189" s="351">
        <v>0.97</v>
      </c>
      <c r="H189" s="336">
        <v>1</v>
      </c>
      <c r="I189" s="344">
        <v>3</v>
      </c>
      <c r="J189" s="324"/>
      <c r="K189" s="324"/>
      <c r="L189" s="324"/>
      <c r="M189" s="324"/>
      <c r="N189" s="93">
        <v>1</v>
      </c>
      <c r="O189" s="94">
        <v>2</v>
      </c>
      <c r="P189" s="92"/>
      <c r="Q189" s="107"/>
      <c r="R189" s="341"/>
      <c r="S189" s="174"/>
      <c r="T189" s="352"/>
      <c r="U189" s="324"/>
      <c r="V189" s="324"/>
      <c r="W189" s="324"/>
      <c r="X189" s="99">
        <f t="shared" si="6"/>
        <v>0</v>
      </c>
      <c r="Y189" s="100"/>
      <c r="Z189" s="101"/>
      <c r="AA189" s="298" t="s">
        <v>236</v>
      </c>
      <c r="AB189" s="206"/>
      <c r="AC189" s="206"/>
      <c r="AD189" s="353"/>
      <c r="AE189" s="353"/>
      <c r="AF189" s="353"/>
      <c r="AG189" s="354"/>
      <c r="AH189" s="353"/>
      <c r="AI189" s="206"/>
      <c r="AJ189" s="206"/>
      <c r="AK189" s="206"/>
      <c r="AL189" s="206"/>
      <c r="AM189" s="206"/>
      <c r="AN189" s="206"/>
      <c r="AO189" s="206"/>
      <c r="AP189" s="206"/>
      <c r="AQ189" s="141" t="s">
        <v>247</v>
      </c>
      <c r="AR189" s="207">
        <v>13</v>
      </c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</row>
    <row r="190" spans="1:44" s="102" customFormat="1" ht="23.25" customHeight="1">
      <c r="A190" s="87" t="s">
        <v>234</v>
      </c>
      <c r="B190" s="216">
        <v>11</v>
      </c>
      <c r="C190" s="87" t="s">
        <v>252</v>
      </c>
      <c r="D190" s="351">
        <v>0.82</v>
      </c>
      <c r="E190" s="355">
        <v>0.94</v>
      </c>
      <c r="F190" s="351">
        <v>0.8</v>
      </c>
      <c r="G190" s="355">
        <v>0.95</v>
      </c>
      <c r="H190" s="336">
        <v>1</v>
      </c>
      <c r="I190" s="344">
        <v>3</v>
      </c>
      <c r="J190" s="324"/>
      <c r="K190" s="324"/>
      <c r="L190" s="324"/>
      <c r="M190" s="324"/>
      <c r="N190" s="93">
        <v>1</v>
      </c>
      <c r="O190" s="94">
        <v>2</v>
      </c>
      <c r="P190" s="92"/>
      <c r="Q190" s="107"/>
      <c r="R190" s="341"/>
      <c r="S190" s="174"/>
      <c r="T190" s="352"/>
      <c r="U190" s="324"/>
      <c r="V190" s="324"/>
      <c r="W190" s="324"/>
      <c r="X190" s="99">
        <f t="shared" si="6"/>
        <v>0</v>
      </c>
      <c r="Y190" s="100"/>
      <c r="Z190" s="101"/>
      <c r="AA190" s="298" t="s">
        <v>236</v>
      </c>
      <c r="AQ190" s="126" t="s">
        <v>249</v>
      </c>
      <c r="AR190" s="127">
        <v>2</v>
      </c>
    </row>
    <row r="191" spans="1:44" s="102" customFormat="1" ht="23.25" customHeight="1">
      <c r="A191" s="87" t="s">
        <v>234</v>
      </c>
      <c r="B191" s="88">
        <v>12</v>
      </c>
      <c r="C191" s="87" t="s">
        <v>254</v>
      </c>
      <c r="D191" s="351">
        <v>0.83</v>
      </c>
      <c r="E191" s="351">
        <v>0.92</v>
      </c>
      <c r="F191" s="351">
        <v>0.81</v>
      </c>
      <c r="G191" s="351">
        <v>0.93</v>
      </c>
      <c r="H191" s="336">
        <v>1</v>
      </c>
      <c r="I191" s="344">
        <v>3</v>
      </c>
      <c r="J191" s="324"/>
      <c r="K191" s="324"/>
      <c r="L191" s="324"/>
      <c r="M191" s="324"/>
      <c r="N191" s="93">
        <v>1</v>
      </c>
      <c r="O191" s="94">
        <v>4</v>
      </c>
      <c r="P191" s="92"/>
      <c r="Q191" s="107"/>
      <c r="R191" s="341"/>
      <c r="S191" s="339">
        <v>3</v>
      </c>
      <c r="T191" s="340">
        <v>1</v>
      </c>
      <c r="U191" s="324"/>
      <c r="V191" s="324"/>
      <c r="W191" s="324"/>
      <c r="X191" s="99">
        <f t="shared" si="6"/>
        <v>0</v>
      </c>
      <c r="Y191" s="100"/>
      <c r="Z191" s="101"/>
      <c r="AA191" s="298" t="s">
        <v>236</v>
      </c>
      <c r="AQ191" s="126" t="s">
        <v>251</v>
      </c>
      <c r="AR191" s="127">
        <v>3</v>
      </c>
    </row>
    <row r="192" spans="1:44" s="102" customFormat="1" ht="23.25" customHeight="1">
      <c r="A192" s="87" t="s">
        <v>234</v>
      </c>
      <c r="B192" s="216">
        <v>13</v>
      </c>
      <c r="C192" s="87" t="s">
        <v>256</v>
      </c>
      <c r="D192" s="351">
        <v>0.84</v>
      </c>
      <c r="E192" s="351">
        <v>0.9</v>
      </c>
      <c r="F192" s="351">
        <v>0.82</v>
      </c>
      <c r="G192" s="351">
        <v>0.91</v>
      </c>
      <c r="H192" s="336">
        <v>3</v>
      </c>
      <c r="I192" s="344">
        <v>1</v>
      </c>
      <c r="J192" s="324"/>
      <c r="K192" s="324"/>
      <c r="L192" s="324"/>
      <c r="M192" s="324"/>
      <c r="N192" s="93">
        <v>1</v>
      </c>
      <c r="O192" s="94">
        <v>3</v>
      </c>
      <c r="P192" s="92"/>
      <c r="Q192" s="107"/>
      <c r="R192" s="341"/>
      <c r="S192" s="174"/>
      <c r="T192" s="352"/>
      <c r="U192" s="324"/>
      <c r="V192" s="324"/>
      <c r="W192" s="324"/>
      <c r="X192" s="99">
        <f t="shared" si="6"/>
        <v>0</v>
      </c>
      <c r="Y192" s="100"/>
      <c r="Z192" s="101"/>
      <c r="AA192" s="298" t="s">
        <v>236</v>
      </c>
      <c r="AQ192" s="126" t="s">
        <v>253</v>
      </c>
      <c r="AR192" s="127">
        <v>18</v>
      </c>
    </row>
    <row r="193" spans="1:54" s="206" customFormat="1" ht="23.25" customHeight="1">
      <c r="A193" s="87" t="s">
        <v>234</v>
      </c>
      <c r="B193" s="216">
        <v>14</v>
      </c>
      <c r="C193" s="87" t="s">
        <v>258</v>
      </c>
      <c r="D193" s="351">
        <v>0.85</v>
      </c>
      <c r="E193" s="351">
        <v>0.88</v>
      </c>
      <c r="F193" s="351">
        <v>0.83</v>
      </c>
      <c r="G193" s="351">
        <v>0.89</v>
      </c>
      <c r="H193" s="336">
        <v>1</v>
      </c>
      <c r="I193" s="344">
        <v>3</v>
      </c>
      <c r="J193" s="324"/>
      <c r="K193" s="324"/>
      <c r="L193" s="324"/>
      <c r="M193" s="324"/>
      <c r="N193" s="93">
        <v>1</v>
      </c>
      <c r="O193" s="94">
        <v>2</v>
      </c>
      <c r="P193" s="92"/>
      <c r="Q193" s="107"/>
      <c r="R193" s="341"/>
      <c r="S193" s="174"/>
      <c r="T193" s="352"/>
      <c r="U193" s="324"/>
      <c r="V193" s="324"/>
      <c r="W193" s="324"/>
      <c r="X193" s="99">
        <f t="shared" si="6"/>
        <v>0</v>
      </c>
      <c r="Y193" s="100"/>
      <c r="Z193" s="215"/>
      <c r="AA193" s="202" t="s">
        <v>236</v>
      </c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26" t="s">
        <v>255</v>
      </c>
      <c r="AR193" s="127">
        <v>3</v>
      </c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</row>
    <row r="194" spans="1:44" s="102" customFormat="1" ht="23.25" customHeight="1">
      <c r="A194" s="87" t="s">
        <v>234</v>
      </c>
      <c r="B194" s="216">
        <v>15</v>
      </c>
      <c r="C194" s="87" t="s">
        <v>259</v>
      </c>
      <c r="D194" s="357"/>
      <c r="E194" s="355"/>
      <c r="F194" s="351"/>
      <c r="G194" s="351"/>
      <c r="H194" s="336">
        <v>1</v>
      </c>
      <c r="I194" s="344">
        <v>4</v>
      </c>
      <c r="J194" s="324"/>
      <c r="K194" s="324"/>
      <c r="L194" s="324"/>
      <c r="M194" s="324"/>
      <c r="N194" s="93">
        <v>1</v>
      </c>
      <c r="O194" s="94">
        <v>2</v>
      </c>
      <c r="P194" s="92"/>
      <c r="Q194" s="107"/>
      <c r="R194" s="341"/>
      <c r="S194" s="174"/>
      <c r="T194" s="352"/>
      <c r="U194" s="324"/>
      <c r="V194" s="324"/>
      <c r="W194" s="324"/>
      <c r="X194" s="99">
        <f t="shared" si="6"/>
        <v>0</v>
      </c>
      <c r="Y194" s="100"/>
      <c r="Z194" s="101"/>
      <c r="AA194" s="298" t="s">
        <v>236</v>
      </c>
      <c r="AQ194" s="358" t="s">
        <v>257</v>
      </c>
      <c r="AR194" s="127">
        <v>4</v>
      </c>
    </row>
    <row r="195" spans="1:44" s="102" customFormat="1" ht="23.25" customHeight="1">
      <c r="A195" s="87" t="s">
        <v>234</v>
      </c>
      <c r="B195" s="216">
        <v>16</v>
      </c>
      <c r="C195" s="87" t="s">
        <v>261</v>
      </c>
      <c r="D195" s="357"/>
      <c r="E195" s="355"/>
      <c r="F195" s="351"/>
      <c r="G195" s="351"/>
      <c r="H195" s="336">
        <v>1</v>
      </c>
      <c r="I195" s="344">
        <v>4</v>
      </c>
      <c r="J195" s="324"/>
      <c r="K195" s="324"/>
      <c r="L195" s="324"/>
      <c r="M195" s="324"/>
      <c r="N195" s="93">
        <v>1</v>
      </c>
      <c r="O195" s="94">
        <v>2</v>
      </c>
      <c r="P195" s="92"/>
      <c r="Q195" s="107"/>
      <c r="R195" s="341"/>
      <c r="S195" s="174"/>
      <c r="T195" s="352"/>
      <c r="U195" s="324"/>
      <c r="V195" s="324"/>
      <c r="W195" s="324"/>
      <c r="X195" s="99">
        <f t="shared" si="6"/>
        <v>0</v>
      </c>
      <c r="Y195" s="100"/>
      <c r="Z195" s="101"/>
      <c r="AA195" s="298" t="s">
        <v>236</v>
      </c>
      <c r="AQ195" s="358" t="s">
        <v>249</v>
      </c>
      <c r="AR195" s="127">
        <v>4</v>
      </c>
    </row>
    <row r="196" spans="1:44" s="102" customFormat="1" ht="23.25" customHeight="1">
      <c r="A196" s="87" t="s">
        <v>234</v>
      </c>
      <c r="B196" s="216">
        <v>17</v>
      </c>
      <c r="C196" s="87" t="s">
        <v>262</v>
      </c>
      <c r="D196" s="357"/>
      <c r="E196" s="355"/>
      <c r="F196" s="351"/>
      <c r="G196" s="351"/>
      <c r="H196" s="336">
        <v>1</v>
      </c>
      <c r="I196" s="344">
        <v>4</v>
      </c>
      <c r="J196" s="324"/>
      <c r="K196" s="324"/>
      <c r="L196" s="324"/>
      <c r="M196" s="324"/>
      <c r="N196" s="93">
        <v>1</v>
      </c>
      <c r="O196" s="94">
        <v>2</v>
      </c>
      <c r="P196" s="92"/>
      <c r="Q196" s="324"/>
      <c r="R196" s="341"/>
      <c r="S196" s="174"/>
      <c r="T196" s="352"/>
      <c r="U196" s="324"/>
      <c r="V196" s="324"/>
      <c r="W196" s="324"/>
      <c r="X196" s="99">
        <f t="shared" si="6"/>
        <v>0</v>
      </c>
      <c r="Y196" s="100"/>
      <c r="Z196" s="101"/>
      <c r="AA196" s="298" t="s">
        <v>236</v>
      </c>
      <c r="AQ196" s="358" t="s">
        <v>260</v>
      </c>
      <c r="AR196" s="127">
        <v>3</v>
      </c>
    </row>
    <row r="197" spans="1:44" s="102" customFormat="1" ht="36" customHeight="1">
      <c r="A197" s="87" t="s">
        <v>234</v>
      </c>
      <c r="B197" s="216">
        <v>18</v>
      </c>
      <c r="C197" s="87" t="s">
        <v>263</v>
      </c>
      <c r="D197" s="351">
        <v>1.05</v>
      </c>
      <c r="E197" s="351">
        <v>0.75</v>
      </c>
      <c r="F197" s="351">
        <v>1.07</v>
      </c>
      <c r="G197" s="351">
        <v>0.75</v>
      </c>
      <c r="H197" s="336">
        <v>1</v>
      </c>
      <c r="I197" s="344">
        <v>6</v>
      </c>
      <c r="J197" s="350"/>
      <c r="K197" s="350"/>
      <c r="L197" s="350"/>
      <c r="M197" s="350"/>
      <c r="N197" s="93">
        <v>3</v>
      </c>
      <c r="O197" s="94">
        <v>2</v>
      </c>
      <c r="P197" s="92"/>
      <c r="Q197" s="324"/>
      <c r="R197" s="341"/>
      <c r="S197" s="339">
        <v>3</v>
      </c>
      <c r="T197" s="340">
        <v>2</v>
      </c>
      <c r="U197" s="324"/>
      <c r="V197" s="324"/>
      <c r="W197" s="324"/>
      <c r="X197" s="99">
        <f t="shared" si="6"/>
        <v>0</v>
      </c>
      <c r="Y197" s="100"/>
      <c r="Z197" s="101"/>
      <c r="AA197" s="298" t="s">
        <v>236</v>
      </c>
      <c r="AQ197" s="349" t="s">
        <v>226</v>
      </c>
      <c r="AR197" s="349">
        <v>2</v>
      </c>
    </row>
    <row r="198" spans="1:44" s="102" customFormat="1" ht="23.25" customHeight="1">
      <c r="A198" s="87" t="s">
        <v>234</v>
      </c>
      <c r="B198" s="88">
        <v>19</v>
      </c>
      <c r="C198" s="87" t="s">
        <v>264</v>
      </c>
      <c r="D198" s="359"/>
      <c r="E198" s="359"/>
      <c r="F198" s="359"/>
      <c r="G198" s="359"/>
      <c r="H198" s="336">
        <v>1</v>
      </c>
      <c r="I198" s="344">
        <v>6</v>
      </c>
      <c r="J198" s="360"/>
      <c r="K198" s="360"/>
      <c r="L198" s="360"/>
      <c r="M198" s="360"/>
      <c r="N198" s="93">
        <v>1</v>
      </c>
      <c r="O198" s="94">
        <v>2</v>
      </c>
      <c r="P198" s="360"/>
      <c r="Q198" s="360"/>
      <c r="R198" s="360"/>
      <c r="S198" s="339">
        <v>3</v>
      </c>
      <c r="T198" s="340">
        <v>2</v>
      </c>
      <c r="U198" s="360"/>
      <c r="V198" s="360"/>
      <c r="W198" s="360"/>
      <c r="X198" s="99">
        <f aca="true" t="shared" si="7" ref="X198:X206">M198+R198+W198</f>
        <v>0</v>
      </c>
      <c r="Y198" s="361" t="s">
        <v>396</v>
      </c>
      <c r="Z198" s="101"/>
      <c r="AA198" s="298" t="s">
        <v>236</v>
      </c>
      <c r="AQ198" s="126">
        <v>0</v>
      </c>
      <c r="AR198" s="127">
        <v>3</v>
      </c>
    </row>
    <row r="199" spans="1:44" s="102" customFormat="1" ht="23.25" customHeight="1">
      <c r="A199" s="87" t="s">
        <v>234</v>
      </c>
      <c r="B199" s="216">
        <v>20</v>
      </c>
      <c r="C199" s="87" t="s">
        <v>265</v>
      </c>
      <c r="D199" s="351">
        <v>0.81</v>
      </c>
      <c r="E199" s="351">
        <v>0.84</v>
      </c>
      <c r="F199" s="351">
        <v>0.74</v>
      </c>
      <c r="G199" s="351">
        <v>0.86</v>
      </c>
      <c r="H199" s="336">
        <v>1</v>
      </c>
      <c r="I199" s="344">
        <v>4</v>
      </c>
      <c r="J199" s="350"/>
      <c r="K199" s="350"/>
      <c r="L199" s="350"/>
      <c r="M199" s="350"/>
      <c r="N199" s="93">
        <v>1</v>
      </c>
      <c r="O199" s="94">
        <v>2</v>
      </c>
      <c r="P199" s="92"/>
      <c r="Q199" s="324"/>
      <c r="R199" s="341"/>
      <c r="S199" s="174"/>
      <c r="T199" s="352"/>
      <c r="U199" s="324"/>
      <c r="V199" s="324"/>
      <c r="W199" s="324"/>
      <c r="X199" s="99">
        <f t="shared" si="7"/>
        <v>0</v>
      </c>
      <c r="Y199" s="100"/>
      <c r="Z199" s="101"/>
      <c r="AA199" s="298" t="s">
        <v>236</v>
      </c>
      <c r="AQ199" s="349">
        <v>0</v>
      </c>
      <c r="AR199" s="332">
        <v>9</v>
      </c>
    </row>
    <row r="200" spans="1:54" s="206" customFormat="1" ht="23.25" customHeight="1">
      <c r="A200" s="87" t="s">
        <v>234</v>
      </c>
      <c r="B200" s="216">
        <v>21</v>
      </c>
      <c r="C200" s="87" t="s">
        <v>266</v>
      </c>
      <c r="D200" s="351">
        <v>0.55</v>
      </c>
      <c r="E200" s="351">
        <v>0.64</v>
      </c>
      <c r="F200" s="351">
        <v>0.41</v>
      </c>
      <c r="G200" s="351">
        <v>0.64</v>
      </c>
      <c r="H200" s="336">
        <v>1</v>
      </c>
      <c r="I200" s="344">
        <v>6</v>
      </c>
      <c r="J200" s="350"/>
      <c r="K200" s="350"/>
      <c r="L200" s="350"/>
      <c r="M200" s="350"/>
      <c r="N200" s="338">
        <v>3</v>
      </c>
      <c r="O200" s="94">
        <v>2</v>
      </c>
      <c r="P200" s="92"/>
      <c r="Q200" s="324"/>
      <c r="R200" s="341"/>
      <c r="S200" s="339">
        <v>3</v>
      </c>
      <c r="T200" s="340">
        <v>1</v>
      </c>
      <c r="U200" s="324"/>
      <c r="V200" s="324"/>
      <c r="W200" s="324"/>
      <c r="X200" s="99">
        <f t="shared" si="7"/>
        <v>0</v>
      </c>
      <c r="Y200" s="100"/>
      <c r="Z200" s="215"/>
      <c r="AA200" s="202" t="s">
        <v>236</v>
      </c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349">
        <v>0</v>
      </c>
      <c r="AR200" s="332">
        <v>4</v>
      </c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</row>
    <row r="201" spans="1:44" s="102" customFormat="1" ht="23.25" customHeight="1">
      <c r="A201" s="87" t="s">
        <v>234</v>
      </c>
      <c r="B201" s="216">
        <v>22</v>
      </c>
      <c r="C201" s="87" t="s">
        <v>267</v>
      </c>
      <c r="D201" s="351">
        <v>0.42</v>
      </c>
      <c r="E201" s="351">
        <v>0.65</v>
      </c>
      <c r="F201" s="351">
        <v>0.25</v>
      </c>
      <c r="G201" s="351">
        <v>0.69</v>
      </c>
      <c r="H201" s="336">
        <v>6</v>
      </c>
      <c r="I201" s="344">
        <v>6</v>
      </c>
      <c r="J201" s="350"/>
      <c r="K201" s="350"/>
      <c r="L201" s="350"/>
      <c r="M201" s="350"/>
      <c r="N201" s="338">
        <v>3</v>
      </c>
      <c r="O201" s="94">
        <v>6</v>
      </c>
      <c r="P201" s="92"/>
      <c r="Q201" s="324"/>
      <c r="R201" s="341"/>
      <c r="S201" s="339">
        <v>3</v>
      </c>
      <c r="T201" s="340">
        <v>8</v>
      </c>
      <c r="U201" s="324"/>
      <c r="V201" s="324"/>
      <c r="W201" s="324"/>
      <c r="X201" s="99">
        <f t="shared" si="7"/>
        <v>0</v>
      </c>
      <c r="Y201" s="100"/>
      <c r="Z201" s="101"/>
      <c r="AA201" s="298" t="s">
        <v>236</v>
      </c>
      <c r="AQ201" s="349"/>
      <c r="AR201" s="349"/>
    </row>
    <row r="202" spans="1:54" s="102" customFormat="1" ht="23.25" customHeight="1">
      <c r="A202" s="87" t="s">
        <v>234</v>
      </c>
      <c r="B202" s="216">
        <v>23</v>
      </c>
      <c r="C202" s="87" t="s">
        <v>269</v>
      </c>
      <c r="D202" s="351">
        <v>0.45</v>
      </c>
      <c r="E202" s="351">
        <v>0.48</v>
      </c>
      <c r="F202" s="351">
        <v>0.21</v>
      </c>
      <c r="G202" s="351">
        <v>0.5</v>
      </c>
      <c r="H202" s="336">
        <v>1</v>
      </c>
      <c r="I202" s="344">
        <v>4</v>
      </c>
      <c r="J202" s="350"/>
      <c r="K202" s="350"/>
      <c r="L202" s="350"/>
      <c r="M202" s="350"/>
      <c r="N202" s="93">
        <v>3</v>
      </c>
      <c r="O202" s="94">
        <v>2</v>
      </c>
      <c r="P202" s="92"/>
      <c r="Q202" s="324"/>
      <c r="R202" s="341"/>
      <c r="S202" s="174"/>
      <c r="T202" s="352"/>
      <c r="U202" s="324"/>
      <c r="V202" s="324"/>
      <c r="W202" s="324"/>
      <c r="X202" s="99">
        <f t="shared" si="7"/>
        <v>0</v>
      </c>
      <c r="Y202" s="100"/>
      <c r="Z202" s="101"/>
      <c r="AA202" s="298" t="s">
        <v>236</v>
      </c>
      <c r="AB202" s="206"/>
      <c r="AC202" s="206"/>
      <c r="AD202" s="353"/>
      <c r="AE202" s="353"/>
      <c r="AF202" s="353"/>
      <c r="AG202" s="354"/>
      <c r="AH202" s="353"/>
      <c r="AI202" s="206"/>
      <c r="AJ202" s="206"/>
      <c r="AK202" s="206"/>
      <c r="AL202" s="206"/>
      <c r="AM202" s="206"/>
      <c r="AN202" s="206"/>
      <c r="AO202" s="206"/>
      <c r="AP202" s="206"/>
      <c r="AQ202" s="141" t="s">
        <v>239</v>
      </c>
      <c r="AR202" s="207">
        <v>1</v>
      </c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</row>
    <row r="203" spans="1:54" s="102" customFormat="1" ht="23.25" customHeight="1">
      <c r="A203" s="87" t="s">
        <v>234</v>
      </c>
      <c r="B203" s="216">
        <v>24</v>
      </c>
      <c r="C203" s="87" t="s">
        <v>270</v>
      </c>
      <c r="D203" s="351">
        <v>0.48</v>
      </c>
      <c r="E203" s="351">
        <v>0.5</v>
      </c>
      <c r="F203" s="351">
        <v>0.17</v>
      </c>
      <c r="G203" s="351">
        <v>0.56</v>
      </c>
      <c r="H203" s="336">
        <v>1</v>
      </c>
      <c r="I203" s="344">
        <v>4</v>
      </c>
      <c r="J203" s="350"/>
      <c r="K203" s="350"/>
      <c r="L203" s="350"/>
      <c r="M203" s="350"/>
      <c r="N203" s="93"/>
      <c r="O203" s="94"/>
      <c r="P203" s="92"/>
      <c r="Q203" s="107"/>
      <c r="R203" s="341"/>
      <c r="S203" s="174"/>
      <c r="T203" s="352"/>
      <c r="U203" s="324"/>
      <c r="V203" s="324"/>
      <c r="W203" s="324"/>
      <c r="X203" s="99">
        <f t="shared" si="7"/>
        <v>0</v>
      </c>
      <c r="Y203" s="100"/>
      <c r="Z203" s="101"/>
      <c r="AA203" s="298" t="s">
        <v>236</v>
      </c>
      <c r="AB203" s="206"/>
      <c r="AC203" s="206"/>
      <c r="AD203" s="353"/>
      <c r="AE203" s="353"/>
      <c r="AF203" s="353"/>
      <c r="AG203" s="354"/>
      <c r="AH203" s="353"/>
      <c r="AI203" s="206"/>
      <c r="AJ203" s="206"/>
      <c r="AK203" s="206"/>
      <c r="AL203" s="206"/>
      <c r="AM203" s="206"/>
      <c r="AN203" s="206"/>
      <c r="AO203" s="206"/>
      <c r="AP203" s="206"/>
      <c r="AQ203" s="141" t="s">
        <v>268</v>
      </c>
      <c r="AR203" s="207">
        <v>65</v>
      </c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</row>
    <row r="204" spans="1:44" s="102" customFormat="1" ht="23.25" customHeight="1">
      <c r="A204" s="87" t="s">
        <v>234</v>
      </c>
      <c r="B204" s="216">
        <v>25</v>
      </c>
      <c r="C204" s="87" t="s">
        <v>271</v>
      </c>
      <c r="D204" s="351">
        <v>0.51</v>
      </c>
      <c r="E204" s="355">
        <v>0.46</v>
      </c>
      <c r="F204" s="351">
        <v>0.13</v>
      </c>
      <c r="G204" s="355">
        <v>0.58</v>
      </c>
      <c r="H204" s="336">
        <v>1</v>
      </c>
      <c r="I204" s="344">
        <v>4</v>
      </c>
      <c r="J204" s="350"/>
      <c r="K204" s="350"/>
      <c r="L204" s="350"/>
      <c r="M204" s="350"/>
      <c r="N204" s="93"/>
      <c r="O204" s="362"/>
      <c r="P204" s="92"/>
      <c r="Q204" s="107"/>
      <c r="R204" s="341"/>
      <c r="S204" s="174"/>
      <c r="T204" s="352"/>
      <c r="U204" s="324"/>
      <c r="V204" s="324"/>
      <c r="W204" s="324"/>
      <c r="X204" s="99">
        <f t="shared" si="7"/>
        <v>0</v>
      </c>
      <c r="Y204" s="100"/>
      <c r="Z204" s="101"/>
      <c r="AA204" s="298" t="s">
        <v>236</v>
      </c>
      <c r="AQ204" s="349">
        <v>3</v>
      </c>
      <c r="AR204" s="332">
        <v>2</v>
      </c>
    </row>
    <row r="205" spans="1:44" s="102" customFormat="1" ht="23.25" customHeight="1">
      <c r="A205" s="87" t="s">
        <v>234</v>
      </c>
      <c r="B205" s="216">
        <v>26</v>
      </c>
      <c r="C205" s="87" t="s">
        <v>272</v>
      </c>
      <c r="D205" s="351">
        <v>0.53</v>
      </c>
      <c r="E205" s="355">
        <v>0.41</v>
      </c>
      <c r="F205" s="351">
        <v>0.06</v>
      </c>
      <c r="G205" s="355">
        <v>0.46</v>
      </c>
      <c r="H205" s="336">
        <v>1</v>
      </c>
      <c r="I205" s="344">
        <v>4</v>
      </c>
      <c r="J205" s="350"/>
      <c r="K205" s="350"/>
      <c r="L205" s="350"/>
      <c r="M205" s="350"/>
      <c r="N205" s="93"/>
      <c r="O205" s="362"/>
      <c r="P205" s="92"/>
      <c r="Q205" s="107"/>
      <c r="R205" s="341"/>
      <c r="S205" s="174"/>
      <c r="T205" s="352"/>
      <c r="U205" s="324"/>
      <c r="V205" s="324"/>
      <c r="W205" s="324"/>
      <c r="X205" s="99">
        <f t="shared" si="7"/>
        <v>0</v>
      </c>
      <c r="Y205" s="100"/>
      <c r="Z205" s="101"/>
      <c r="AA205" s="298" t="s">
        <v>236</v>
      </c>
      <c r="AQ205" s="358"/>
      <c r="AR205" s="127"/>
    </row>
    <row r="206" spans="1:44" s="102" customFormat="1" ht="23.25" customHeight="1">
      <c r="A206" s="87" t="s">
        <v>234</v>
      </c>
      <c r="B206" s="216">
        <v>27</v>
      </c>
      <c r="C206" s="87" t="s">
        <v>273</v>
      </c>
      <c r="D206" s="351">
        <v>0.68</v>
      </c>
      <c r="E206" s="351">
        <v>0.58</v>
      </c>
      <c r="F206" s="351">
        <v>0.58</v>
      </c>
      <c r="G206" s="351">
        <v>0.62</v>
      </c>
      <c r="H206" s="336">
        <v>1</v>
      </c>
      <c r="I206" s="344">
        <v>7</v>
      </c>
      <c r="J206" s="350"/>
      <c r="K206" s="350"/>
      <c r="L206" s="350"/>
      <c r="M206" s="350"/>
      <c r="N206" s="93"/>
      <c r="O206" s="362"/>
      <c r="P206" s="92"/>
      <c r="Q206" s="107"/>
      <c r="R206" s="341"/>
      <c r="S206" s="174"/>
      <c r="T206" s="352"/>
      <c r="U206" s="324"/>
      <c r="V206" s="324"/>
      <c r="W206" s="324"/>
      <c r="X206" s="99">
        <f t="shared" si="7"/>
        <v>0</v>
      </c>
      <c r="Y206" s="100"/>
      <c r="Z206" s="101"/>
      <c r="AA206" s="298" t="s">
        <v>236</v>
      </c>
      <c r="AQ206" s="126"/>
      <c r="AR206" s="127"/>
    </row>
    <row r="207" spans="1:44" s="102" customFormat="1" ht="23.25" customHeight="1">
      <c r="A207" s="87" t="s">
        <v>234</v>
      </c>
      <c r="B207" s="216">
        <v>28</v>
      </c>
      <c r="C207" s="87" t="s">
        <v>274</v>
      </c>
      <c r="D207" s="351">
        <v>0.55</v>
      </c>
      <c r="E207" s="351">
        <v>0.55</v>
      </c>
      <c r="F207" s="351">
        <v>0.05</v>
      </c>
      <c r="G207" s="351">
        <v>0.6</v>
      </c>
      <c r="H207" s="336">
        <v>1</v>
      </c>
      <c r="I207" s="344">
        <v>6</v>
      </c>
      <c r="J207" s="350"/>
      <c r="K207" s="350"/>
      <c r="L207" s="350"/>
      <c r="M207" s="350"/>
      <c r="N207" s="93">
        <v>3</v>
      </c>
      <c r="O207" s="94">
        <v>4</v>
      </c>
      <c r="P207" s="92"/>
      <c r="Q207" s="107"/>
      <c r="R207" s="341"/>
      <c r="S207" s="339">
        <v>3</v>
      </c>
      <c r="T207" s="340">
        <v>2</v>
      </c>
      <c r="U207" s="107"/>
      <c r="V207" s="107"/>
      <c r="W207" s="107"/>
      <c r="X207" s="99">
        <f>M207+R207+W207</f>
        <v>0</v>
      </c>
      <c r="Y207" s="100"/>
      <c r="Z207" s="101"/>
      <c r="AA207" s="298" t="s">
        <v>236</v>
      </c>
      <c r="AQ207" s="126"/>
      <c r="AR207" s="127"/>
    </row>
    <row r="208" spans="1:44" s="102" customFormat="1" ht="23.25" customHeight="1">
      <c r="A208" s="87" t="s">
        <v>234</v>
      </c>
      <c r="B208" s="216">
        <v>29</v>
      </c>
      <c r="C208" s="87" t="s">
        <v>275</v>
      </c>
      <c r="D208" s="351">
        <v>0.36</v>
      </c>
      <c r="E208" s="351">
        <v>0.36</v>
      </c>
      <c r="F208" s="351">
        <v>0.4</v>
      </c>
      <c r="G208" s="351">
        <v>0.4</v>
      </c>
      <c r="H208" s="336">
        <v>1</v>
      </c>
      <c r="I208" s="344">
        <v>4</v>
      </c>
      <c r="J208" s="363"/>
      <c r="K208" s="363"/>
      <c r="L208" s="363"/>
      <c r="M208" s="363"/>
      <c r="N208" s="363"/>
      <c r="O208" s="364"/>
      <c r="P208" s="494"/>
      <c r="Q208" s="494"/>
      <c r="R208" s="494"/>
      <c r="S208" s="365"/>
      <c r="T208" s="366"/>
      <c r="U208" s="495"/>
      <c r="V208" s="495"/>
      <c r="W208" s="495"/>
      <c r="X208" s="367"/>
      <c r="Y208" s="502"/>
      <c r="Z208" s="101"/>
      <c r="AA208" s="298" t="s">
        <v>236</v>
      </c>
      <c r="AQ208" s="126"/>
      <c r="AR208" s="127"/>
    </row>
    <row r="209" spans="1:44" s="102" customFormat="1" ht="23.25" customHeight="1">
      <c r="A209" s="87" t="s">
        <v>234</v>
      </c>
      <c r="B209" s="216">
        <v>30</v>
      </c>
      <c r="C209" s="87" t="s">
        <v>276</v>
      </c>
      <c r="D209" s="351">
        <v>-0.16</v>
      </c>
      <c r="E209" s="351">
        <v>0.52</v>
      </c>
      <c r="F209" s="351">
        <v>-0.24</v>
      </c>
      <c r="G209" s="355">
        <v>0.56</v>
      </c>
      <c r="H209" s="336">
        <v>1</v>
      </c>
      <c r="I209" s="344">
        <v>4</v>
      </c>
      <c r="J209" s="363"/>
      <c r="K209" s="363"/>
      <c r="L209" s="363"/>
      <c r="M209" s="363"/>
      <c r="N209" s="363"/>
      <c r="O209" s="364"/>
      <c r="P209" s="494"/>
      <c r="Q209" s="494"/>
      <c r="R209" s="494"/>
      <c r="S209" s="365"/>
      <c r="T209" s="366"/>
      <c r="U209" s="495"/>
      <c r="V209" s="495"/>
      <c r="W209" s="495"/>
      <c r="X209" s="367"/>
      <c r="Y209" s="502"/>
      <c r="Z209" s="101"/>
      <c r="AA209" s="298" t="s">
        <v>236</v>
      </c>
      <c r="AQ209" s="349"/>
      <c r="AR209" s="127"/>
    </row>
    <row r="210" spans="1:44" s="102" customFormat="1" ht="23.25" customHeight="1">
      <c r="A210" s="87" t="s">
        <v>234</v>
      </c>
      <c r="B210" s="216">
        <v>31</v>
      </c>
      <c r="C210" s="87" t="s">
        <v>277</v>
      </c>
      <c r="D210" s="368"/>
      <c r="E210" s="368"/>
      <c r="F210" s="369"/>
      <c r="G210" s="368"/>
      <c r="H210" s="336">
        <v>1</v>
      </c>
      <c r="I210" s="344">
        <v>6</v>
      </c>
      <c r="J210" s="341"/>
      <c r="K210" s="370"/>
      <c r="L210" s="341"/>
      <c r="M210" s="341"/>
      <c r="N210" s="93"/>
      <c r="O210" s="94"/>
      <c r="P210" s="324"/>
      <c r="Q210" s="324"/>
      <c r="R210" s="324"/>
      <c r="S210" s="174"/>
      <c r="T210" s="352"/>
      <c r="U210" s="107"/>
      <c r="V210" s="107"/>
      <c r="W210" s="107"/>
      <c r="X210" s="99">
        <f>M210+R210+W210</f>
        <v>0</v>
      </c>
      <c r="Y210" s="100"/>
      <c r="Z210" s="101"/>
      <c r="AA210" s="298" t="s">
        <v>236</v>
      </c>
      <c r="AQ210" s="349"/>
      <c r="AR210" s="127"/>
    </row>
    <row r="211" spans="1:44" s="102" customFormat="1" ht="23.25" customHeight="1">
      <c r="A211" s="87" t="s">
        <v>234</v>
      </c>
      <c r="B211" s="88">
        <v>32</v>
      </c>
      <c r="C211" s="87" t="s">
        <v>278</v>
      </c>
      <c r="D211" s="371"/>
      <c r="E211" s="372"/>
      <c r="F211" s="372"/>
      <c r="G211" s="372"/>
      <c r="H211" s="90"/>
      <c r="I211" s="91"/>
      <c r="J211" s="341"/>
      <c r="K211" s="324"/>
      <c r="L211" s="324"/>
      <c r="M211" s="324"/>
      <c r="N211" s="131"/>
      <c r="O211" s="94"/>
      <c r="P211" s="324"/>
      <c r="Q211" s="324"/>
      <c r="R211" s="324"/>
      <c r="S211" s="373"/>
      <c r="T211" s="97"/>
      <c r="U211" s="92"/>
      <c r="V211" s="107"/>
      <c r="W211" s="92"/>
      <c r="X211" s="99">
        <f>M211+R211+W211</f>
        <v>0</v>
      </c>
      <c r="Y211" s="322"/>
      <c r="Z211" s="101"/>
      <c r="AA211" s="298" t="s">
        <v>236</v>
      </c>
      <c r="AQ211" s="349"/>
      <c r="AR211" s="127"/>
    </row>
    <row r="212" spans="1:44" s="102" customFormat="1" ht="23.25" customHeight="1">
      <c r="A212" s="87" t="s">
        <v>234</v>
      </c>
      <c r="B212" s="88">
        <v>33</v>
      </c>
      <c r="C212" s="87" t="s">
        <v>279</v>
      </c>
      <c r="D212" s="372"/>
      <c r="E212" s="372"/>
      <c r="F212" s="374"/>
      <c r="G212" s="372"/>
      <c r="H212" s="375"/>
      <c r="I212" s="321"/>
      <c r="J212" s="324"/>
      <c r="K212" s="324"/>
      <c r="L212" s="324"/>
      <c r="M212" s="324"/>
      <c r="N212" s="93"/>
      <c r="O212" s="146"/>
      <c r="P212" s="324"/>
      <c r="Q212" s="324"/>
      <c r="R212" s="324"/>
      <c r="S212" s="174"/>
      <c r="T212" s="352"/>
      <c r="U212" s="107"/>
      <c r="V212" s="107"/>
      <c r="W212" s="107"/>
      <c r="X212" s="99">
        <f>M212+R212+W212</f>
        <v>0</v>
      </c>
      <c r="Y212" s="322"/>
      <c r="Z212" s="101"/>
      <c r="AA212" s="298" t="s">
        <v>236</v>
      </c>
      <c r="AQ212" s="349"/>
      <c r="AR212" s="127"/>
    </row>
    <row r="213" spans="1:54" s="206" customFormat="1" ht="24" customHeight="1">
      <c r="A213" s="87" t="s">
        <v>280</v>
      </c>
      <c r="B213" s="216">
        <v>1</v>
      </c>
      <c r="C213" s="87" t="s">
        <v>281</v>
      </c>
      <c r="D213" s="372"/>
      <c r="E213" s="372"/>
      <c r="F213" s="374"/>
      <c r="G213" s="372"/>
      <c r="H213" s="90">
        <v>6</v>
      </c>
      <c r="I213" s="91">
        <v>12.5</v>
      </c>
      <c r="J213" s="107"/>
      <c r="K213" s="107"/>
      <c r="L213" s="107"/>
      <c r="M213" s="92"/>
      <c r="N213" s="93">
        <v>3</v>
      </c>
      <c r="O213" s="94">
        <v>12</v>
      </c>
      <c r="P213" s="324"/>
      <c r="Q213" s="324"/>
      <c r="R213" s="324"/>
      <c r="S213" s="339">
        <v>3</v>
      </c>
      <c r="T213" s="97">
        <v>2</v>
      </c>
      <c r="U213" s="92"/>
      <c r="V213" s="107"/>
      <c r="W213" s="92"/>
      <c r="X213" s="99">
        <f>M213+R213+W213</f>
        <v>0</v>
      </c>
      <c r="Y213" s="100"/>
      <c r="Z213" s="215"/>
      <c r="AA213" s="2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349"/>
      <c r="AR213" s="127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</row>
    <row r="214" spans="1:54" s="206" customFormat="1" ht="34.5">
      <c r="A214" s="511" t="s">
        <v>57</v>
      </c>
      <c r="B214" s="512"/>
      <c r="C214" s="183"/>
      <c r="D214" s="376"/>
      <c r="E214" s="376"/>
      <c r="F214" s="377"/>
      <c r="G214" s="376"/>
      <c r="H214" s="185"/>
      <c r="I214" s="186"/>
      <c r="J214" s="186"/>
      <c r="K214" s="186"/>
      <c r="L214" s="186"/>
      <c r="M214" s="188">
        <f>SUM(M215:M292)</f>
        <v>1.2836599355094453</v>
      </c>
      <c r="N214" s="186"/>
      <c r="O214" s="189">
        <f>SUM(O215:O291)</f>
        <v>57</v>
      </c>
      <c r="P214" s="378">
        <f>SUM(P215:P291)</f>
        <v>5</v>
      </c>
      <c r="Q214" s="379"/>
      <c r="R214" s="188">
        <f>SUM(R215:R292)</f>
        <v>0.324</v>
      </c>
      <c r="S214" s="186"/>
      <c r="T214" s="189">
        <f>SUM(T215:T291)</f>
        <v>33</v>
      </c>
      <c r="U214" s="190">
        <f>SUM(U215:U291)</f>
        <v>6</v>
      </c>
      <c r="V214" s="379"/>
      <c r="W214" s="188">
        <f>SUM(W215:W292)</f>
        <v>0.57024</v>
      </c>
      <c r="X214" s="319">
        <f>M214+W214+R214</f>
        <v>2.177899935509445</v>
      </c>
      <c r="Y214" s="500"/>
      <c r="Z214" s="215"/>
      <c r="AA214" s="176">
        <f>+M214+R214+W214</f>
        <v>2.1778999355094455</v>
      </c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349"/>
      <c r="AR214" s="127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</row>
    <row r="215" spans="1:44" s="102" customFormat="1" ht="30">
      <c r="A215" s="87" t="s">
        <v>178</v>
      </c>
      <c r="B215" s="216">
        <v>1</v>
      </c>
      <c r="C215" s="87" t="s">
        <v>282</v>
      </c>
      <c r="D215" s="335"/>
      <c r="E215" s="335"/>
      <c r="F215" s="335"/>
      <c r="G215" s="335"/>
      <c r="H215" s="90">
        <v>1</v>
      </c>
      <c r="I215" s="91">
        <v>6</v>
      </c>
      <c r="J215" s="107"/>
      <c r="K215" s="107"/>
      <c r="L215" s="107"/>
      <c r="M215" s="107"/>
      <c r="N215" s="93"/>
      <c r="O215" s="146"/>
      <c r="P215" s="92"/>
      <c r="Q215" s="107"/>
      <c r="R215" s="92"/>
      <c r="S215" s="139"/>
      <c r="T215" s="97"/>
      <c r="U215" s="92"/>
      <c r="V215" s="107"/>
      <c r="W215" s="92"/>
      <c r="X215" s="99">
        <f aca="true" t="shared" si="8" ref="X215:X223">M215+R215+W215</f>
        <v>0</v>
      </c>
      <c r="Y215" s="100"/>
      <c r="Z215" s="101"/>
      <c r="AA215" s="298" t="s">
        <v>236</v>
      </c>
      <c r="AQ215" s="349"/>
      <c r="AR215" s="127"/>
    </row>
    <row r="216" spans="1:44" s="102" customFormat="1" ht="30">
      <c r="A216" s="87" t="s">
        <v>178</v>
      </c>
      <c r="B216" s="216">
        <v>2</v>
      </c>
      <c r="C216" s="87" t="s">
        <v>283</v>
      </c>
      <c r="D216" s="347">
        <v>3.2</v>
      </c>
      <c r="E216" s="347">
        <v>1.47</v>
      </c>
      <c r="F216" s="347">
        <v>3.1</v>
      </c>
      <c r="G216" s="347">
        <v>1.49</v>
      </c>
      <c r="H216" s="90">
        <v>0.7</v>
      </c>
      <c r="I216" s="91">
        <v>6</v>
      </c>
      <c r="J216" s="92"/>
      <c r="K216" s="341"/>
      <c r="L216" s="341"/>
      <c r="M216" s="341"/>
      <c r="N216" s="93"/>
      <c r="O216" s="146"/>
      <c r="P216" s="92"/>
      <c r="Q216" s="107"/>
      <c r="R216" s="92"/>
      <c r="S216" s="139"/>
      <c r="T216" s="97"/>
      <c r="U216" s="92"/>
      <c r="V216" s="107"/>
      <c r="W216" s="92"/>
      <c r="X216" s="99">
        <f t="shared" si="8"/>
        <v>0</v>
      </c>
      <c r="Y216" s="100"/>
      <c r="Z216" s="194"/>
      <c r="AA216" s="298" t="s">
        <v>236</v>
      </c>
      <c r="AQ216" s="349"/>
      <c r="AR216" s="127"/>
    </row>
    <row r="217" spans="1:44" s="102" customFormat="1" ht="30">
      <c r="A217" s="87" t="s">
        <v>178</v>
      </c>
      <c r="B217" s="216">
        <v>3</v>
      </c>
      <c r="C217" s="87" t="s">
        <v>284</v>
      </c>
      <c r="D217" s="347">
        <v>2.24</v>
      </c>
      <c r="E217" s="347">
        <v>1.49</v>
      </c>
      <c r="F217" s="347">
        <v>2.21</v>
      </c>
      <c r="G217" s="347">
        <v>1.45</v>
      </c>
      <c r="H217" s="90">
        <v>1</v>
      </c>
      <c r="I217" s="91">
        <v>4</v>
      </c>
      <c r="J217" s="107"/>
      <c r="K217" s="107"/>
      <c r="L217" s="107"/>
      <c r="M217" s="107"/>
      <c r="N217" s="93"/>
      <c r="O217" s="146"/>
      <c r="P217" s="92"/>
      <c r="Q217" s="107"/>
      <c r="R217" s="92"/>
      <c r="S217" s="96">
        <v>3</v>
      </c>
      <c r="T217" s="97">
        <v>2</v>
      </c>
      <c r="U217" s="107">
        <v>1</v>
      </c>
      <c r="V217" s="107">
        <v>5</v>
      </c>
      <c r="W217" s="107">
        <f>43200/1000000</f>
        <v>0.0432</v>
      </c>
      <c r="X217" s="99">
        <f t="shared" si="8"/>
        <v>0.0432</v>
      </c>
      <c r="Y217" s="100" t="s">
        <v>407</v>
      </c>
      <c r="Z217" s="101"/>
      <c r="AA217" s="298" t="s">
        <v>180</v>
      </c>
      <c r="AQ217" s="349"/>
      <c r="AR217" s="127"/>
    </row>
    <row r="218" spans="1:44" s="102" customFormat="1" ht="30">
      <c r="A218" s="87" t="s">
        <v>178</v>
      </c>
      <c r="B218" s="216">
        <v>4</v>
      </c>
      <c r="C218" s="87" t="s">
        <v>285</v>
      </c>
      <c r="D218" s="347">
        <v>2.2</v>
      </c>
      <c r="E218" s="347">
        <v>1.27</v>
      </c>
      <c r="F218" s="347">
        <v>2.17</v>
      </c>
      <c r="G218" s="347">
        <v>1.2</v>
      </c>
      <c r="H218" s="90">
        <v>-0.07</v>
      </c>
      <c r="I218" s="91">
        <v>4</v>
      </c>
      <c r="J218" s="107"/>
      <c r="K218" s="380"/>
      <c r="L218" s="380"/>
      <c r="M218" s="380"/>
      <c r="N218" s="93"/>
      <c r="O218" s="146"/>
      <c r="P218" s="92"/>
      <c r="Q218" s="107"/>
      <c r="R218" s="92"/>
      <c r="S218" s="96">
        <v>3</v>
      </c>
      <c r="T218" s="97">
        <v>2</v>
      </c>
      <c r="U218" s="107">
        <v>1</v>
      </c>
      <c r="V218" s="107">
        <v>5</v>
      </c>
      <c r="W218" s="107">
        <f>43200/1000000</f>
        <v>0.0432</v>
      </c>
      <c r="X218" s="99">
        <f t="shared" si="8"/>
        <v>0.0432</v>
      </c>
      <c r="Y218" s="100" t="s">
        <v>407</v>
      </c>
      <c r="Z218" s="101"/>
      <c r="AA218" s="298" t="s">
        <v>180</v>
      </c>
      <c r="AQ218" s="177"/>
      <c r="AR218" s="381"/>
    </row>
    <row r="219" spans="1:44" s="102" customFormat="1" ht="30">
      <c r="A219" s="87" t="s">
        <v>178</v>
      </c>
      <c r="B219" s="216">
        <v>5</v>
      </c>
      <c r="C219" s="87" t="s">
        <v>286</v>
      </c>
      <c r="D219" s="347">
        <v>2.14</v>
      </c>
      <c r="E219" s="347">
        <v>1.47</v>
      </c>
      <c r="F219" s="347">
        <v>2.1</v>
      </c>
      <c r="G219" s="347">
        <v>1.4</v>
      </c>
      <c r="H219" s="90">
        <v>0.85</v>
      </c>
      <c r="I219" s="91">
        <v>6</v>
      </c>
      <c r="J219" s="92"/>
      <c r="K219" s="341"/>
      <c r="L219" s="341"/>
      <c r="M219" s="341"/>
      <c r="N219" s="93"/>
      <c r="O219" s="146"/>
      <c r="P219" s="92"/>
      <c r="Q219" s="107"/>
      <c r="R219" s="92"/>
      <c r="S219" s="96">
        <v>3</v>
      </c>
      <c r="T219" s="97">
        <v>2</v>
      </c>
      <c r="U219" s="107">
        <v>1</v>
      </c>
      <c r="V219" s="107">
        <v>13</v>
      </c>
      <c r="W219" s="107">
        <f>112320/1000000</f>
        <v>0.11232</v>
      </c>
      <c r="X219" s="99">
        <f t="shared" si="8"/>
        <v>0.11232</v>
      </c>
      <c r="Y219" s="100" t="s">
        <v>407</v>
      </c>
      <c r="Z219" s="101"/>
      <c r="AA219" s="298" t="s">
        <v>180</v>
      </c>
      <c r="AQ219" s="126"/>
      <c r="AR219" s="127"/>
    </row>
    <row r="220" spans="1:44" s="102" customFormat="1" ht="30">
      <c r="A220" s="87" t="s">
        <v>178</v>
      </c>
      <c r="B220" s="382">
        <v>6</v>
      </c>
      <c r="C220" s="87" t="s">
        <v>287</v>
      </c>
      <c r="D220" s="347">
        <v>2.02</v>
      </c>
      <c r="E220" s="347">
        <v>1.35</v>
      </c>
      <c r="F220" s="347">
        <v>1.9</v>
      </c>
      <c r="G220" s="347">
        <v>1.4</v>
      </c>
      <c r="H220" s="90">
        <v>1.9</v>
      </c>
      <c r="I220" s="91">
        <v>6</v>
      </c>
      <c r="J220" s="92"/>
      <c r="K220" s="341"/>
      <c r="L220" s="92"/>
      <c r="M220" s="107"/>
      <c r="N220" s="93"/>
      <c r="O220" s="146"/>
      <c r="P220" s="92"/>
      <c r="Q220" s="163"/>
      <c r="R220" s="175"/>
      <c r="S220" s="96">
        <v>3</v>
      </c>
      <c r="T220" s="97">
        <v>2</v>
      </c>
      <c r="U220" s="92">
        <v>1</v>
      </c>
      <c r="V220" s="107">
        <v>19</v>
      </c>
      <c r="W220" s="92">
        <f>164160/1000000</f>
        <v>0.16416</v>
      </c>
      <c r="X220" s="99">
        <f t="shared" si="8"/>
        <v>0.16416</v>
      </c>
      <c r="Y220" s="100" t="s">
        <v>407</v>
      </c>
      <c r="Z220" s="101"/>
      <c r="AA220" s="298" t="s">
        <v>180</v>
      </c>
      <c r="AQ220" s="126"/>
      <c r="AR220" s="127"/>
    </row>
    <row r="221" spans="1:44" s="102" customFormat="1" ht="30">
      <c r="A221" s="87" t="s">
        <v>178</v>
      </c>
      <c r="B221" s="382">
        <v>7</v>
      </c>
      <c r="C221" s="87" t="s">
        <v>288</v>
      </c>
      <c r="D221" s="347">
        <v>1.89</v>
      </c>
      <c r="E221" s="347">
        <v>1.3</v>
      </c>
      <c r="F221" s="347">
        <v>1.8</v>
      </c>
      <c r="G221" s="347">
        <v>1.35</v>
      </c>
      <c r="H221" s="90">
        <v>1.85</v>
      </c>
      <c r="I221" s="91">
        <v>4</v>
      </c>
      <c r="J221" s="92"/>
      <c r="K221" s="92"/>
      <c r="L221" s="92"/>
      <c r="M221" s="92"/>
      <c r="N221" s="93"/>
      <c r="O221" s="146"/>
      <c r="P221" s="92"/>
      <c r="Q221" s="107"/>
      <c r="R221" s="175"/>
      <c r="S221" s="96">
        <v>3</v>
      </c>
      <c r="T221" s="97">
        <v>2</v>
      </c>
      <c r="U221" s="92">
        <v>1</v>
      </c>
      <c r="V221" s="107">
        <v>12</v>
      </c>
      <c r="W221" s="92">
        <f>103680/1000000</f>
        <v>0.10368</v>
      </c>
      <c r="X221" s="99">
        <f t="shared" si="8"/>
        <v>0.10368</v>
      </c>
      <c r="Y221" s="100" t="s">
        <v>407</v>
      </c>
      <c r="Z221" s="101"/>
      <c r="AA221" s="298" t="s">
        <v>180</v>
      </c>
      <c r="AQ221" s="105">
        <v>0.5</v>
      </c>
      <c r="AR221" s="127">
        <v>1</v>
      </c>
    </row>
    <row r="222" spans="1:54" s="157" customFormat="1" ht="30">
      <c r="A222" s="87" t="s">
        <v>178</v>
      </c>
      <c r="B222" s="382">
        <v>8</v>
      </c>
      <c r="C222" s="87" t="s">
        <v>289</v>
      </c>
      <c r="D222" s="347">
        <v>1.75</v>
      </c>
      <c r="E222" s="347">
        <v>1.28</v>
      </c>
      <c r="F222" s="347">
        <v>1.7</v>
      </c>
      <c r="G222" s="347">
        <v>1.32</v>
      </c>
      <c r="H222" s="90">
        <v>1.84</v>
      </c>
      <c r="I222" s="91">
        <v>4</v>
      </c>
      <c r="J222" s="92"/>
      <c r="K222" s="92"/>
      <c r="L222" s="92"/>
      <c r="M222" s="92"/>
      <c r="N222" s="93"/>
      <c r="O222" s="146"/>
      <c r="P222" s="92"/>
      <c r="Q222" s="163"/>
      <c r="R222" s="175"/>
      <c r="S222" s="96">
        <v>3</v>
      </c>
      <c r="T222" s="97">
        <v>2</v>
      </c>
      <c r="U222" s="92">
        <v>1</v>
      </c>
      <c r="V222" s="107">
        <v>12</v>
      </c>
      <c r="W222" s="92">
        <f>103680/1000000</f>
        <v>0.10368</v>
      </c>
      <c r="X222" s="99">
        <f t="shared" si="8"/>
        <v>0.10368</v>
      </c>
      <c r="Y222" s="100" t="s">
        <v>407</v>
      </c>
      <c r="Z222" s="165"/>
      <c r="AA222" s="383" t="s">
        <v>180</v>
      </c>
      <c r="AB222" s="129">
        <f>G222-F222</f>
        <v>-0.3799999999999999</v>
      </c>
      <c r="AC222" s="179">
        <f>+G222</f>
        <v>1.32</v>
      </c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5">
        <v>0.5</v>
      </c>
      <c r="AR222" s="127">
        <v>1</v>
      </c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</row>
    <row r="223" spans="1:54" s="157" customFormat="1" ht="30">
      <c r="A223" s="87" t="s">
        <v>178</v>
      </c>
      <c r="B223" s="382">
        <v>9</v>
      </c>
      <c r="C223" s="87" t="s">
        <v>290</v>
      </c>
      <c r="D223" s="347">
        <v>1.67</v>
      </c>
      <c r="E223" s="347">
        <v>1.5</v>
      </c>
      <c r="F223" s="347">
        <v>1.68</v>
      </c>
      <c r="G223" s="347">
        <v>1.55</v>
      </c>
      <c r="H223" s="90">
        <v>2.05</v>
      </c>
      <c r="I223" s="91">
        <v>4</v>
      </c>
      <c r="J223" s="92"/>
      <c r="K223" s="92"/>
      <c r="L223" s="92"/>
      <c r="M223" s="92"/>
      <c r="N223" s="93"/>
      <c r="O223" s="146"/>
      <c r="P223" s="92"/>
      <c r="Q223" s="163"/>
      <c r="R223" s="175"/>
      <c r="S223" s="96">
        <v>3</v>
      </c>
      <c r="T223" s="97">
        <v>2</v>
      </c>
      <c r="U223" s="92"/>
      <c r="V223" s="107"/>
      <c r="W223" s="92"/>
      <c r="X223" s="99">
        <f t="shared" si="8"/>
        <v>0</v>
      </c>
      <c r="Y223" s="100"/>
      <c r="Z223" s="165"/>
      <c r="AA223" s="383" t="s">
        <v>180</v>
      </c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5">
        <v>0.5</v>
      </c>
      <c r="AR223" s="127">
        <v>1</v>
      </c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</row>
    <row r="224" spans="1:44" s="157" customFormat="1" ht="34.5" customHeight="1">
      <c r="A224" s="87" t="s">
        <v>178</v>
      </c>
      <c r="B224" s="216">
        <v>10</v>
      </c>
      <c r="C224" s="87" t="s">
        <v>291</v>
      </c>
      <c r="D224" s="347">
        <v>1.64</v>
      </c>
      <c r="E224" s="347">
        <v>1.3</v>
      </c>
      <c r="F224" s="347">
        <v>1.57</v>
      </c>
      <c r="G224" s="347">
        <v>1.4</v>
      </c>
      <c r="H224" s="90">
        <v>1.75</v>
      </c>
      <c r="I224" s="91">
        <v>6</v>
      </c>
      <c r="J224" s="92"/>
      <c r="K224" s="341"/>
      <c r="L224" s="92"/>
      <c r="M224" s="92"/>
      <c r="N224" s="93"/>
      <c r="O224" s="146"/>
      <c r="P224" s="92"/>
      <c r="Q224" s="107"/>
      <c r="R224" s="92"/>
      <c r="S224" s="96">
        <v>3</v>
      </c>
      <c r="T224" s="97">
        <v>2</v>
      </c>
      <c r="U224" s="107"/>
      <c r="V224" s="107"/>
      <c r="W224" s="107"/>
      <c r="X224" s="99">
        <f aca="true" t="shared" si="9" ref="X224:X231">M224+R224+W224</f>
        <v>0</v>
      </c>
      <c r="Y224" s="100"/>
      <c r="Z224" s="165"/>
      <c r="AA224" s="383" t="s">
        <v>180</v>
      </c>
      <c r="AB224" s="129">
        <f>G224-F224</f>
        <v>-0.17000000000000015</v>
      </c>
      <c r="AC224" s="179">
        <f>+G224</f>
        <v>1.4</v>
      </c>
      <c r="AQ224" s="153">
        <v>0.5</v>
      </c>
      <c r="AR224" s="160">
        <v>1</v>
      </c>
    </row>
    <row r="225" spans="1:44" s="157" customFormat="1" ht="34.5" customHeight="1">
      <c r="A225" s="87" t="s">
        <v>178</v>
      </c>
      <c r="B225" s="216"/>
      <c r="C225" s="87" t="s">
        <v>292</v>
      </c>
      <c r="D225" s="347">
        <v>1.64</v>
      </c>
      <c r="E225" s="347">
        <v>1.3</v>
      </c>
      <c r="F225" s="347">
        <v>1.57</v>
      </c>
      <c r="G225" s="347">
        <v>1.4</v>
      </c>
      <c r="H225" s="90">
        <v>1</v>
      </c>
      <c r="I225" s="91">
        <v>6</v>
      </c>
      <c r="J225" s="92"/>
      <c r="K225" s="92"/>
      <c r="L225" s="92"/>
      <c r="M225" s="92"/>
      <c r="N225" s="93"/>
      <c r="O225" s="146"/>
      <c r="P225" s="324"/>
      <c r="Q225" s="324"/>
      <c r="R225" s="107"/>
      <c r="S225" s="96">
        <v>3</v>
      </c>
      <c r="T225" s="97">
        <v>2</v>
      </c>
      <c r="U225" s="107"/>
      <c r="V225" s="107"/>
      <c r="W225" s="107"/>
      <c r="X225" s="99">
        <f t="shared" si="9"/>
        <v>0</v>
      </c>
      <c r="Y225" s="100"/>
      <c r="Z225" s="165"/>
      <c r="AA225" s="383" t="s">
        <v>180</v>
      </c>
      <c r="AB225" s="129">
        <f>G225-F225</f>
        <v>-0.17000000000000015</v>
      </c>
      <c r="AC225" s="179">
        <f>+G225</f>
        <v>1.4</v>
      </c>
      <c r="AQ225" s="153">
        <v>0.5</v>
      </c>
      <c r="AR225" s="160">
        <v>1</v>
      </c>
    </row>
    <row r="226" spans="1:54" s="102" customFormat="1" ht="30">
      <c r="A226" s="87" t="s">
        <v>185</v>
      </c>
      <c r="B226" s="216">
        <v>1</v>
      </c>
      <c r="C226" s="87" t="s">
        <v>293</v>
      </c>
      <c r="D226" s="335">
        <v>1.4</v>
      </c>
      <c r="E226" s="335">
        <v>1.4</v>
      </c>
      <c r="F226" s="335">
        <v>1.42</v>
      </c>
      <c r="G226" s="335">
        <v>1.43</v>
      </c>
      <c r="H226" s="90">
        <v>1.75</v>
      </c>
      <c r="I226" s="91">
        <v>6</v>
      </c>
      <c r="J226" s="92">
        <v>2</v>
      </c>
      <c r="K226" s="341" t="s">
        <v>133</v>
      </c>
      <c r="L226" s="92">
        <v>6</v>
      </c>
      <c r="M226" s="92">
        <v>0.23</v>
      </c>
      <c r="N226" s="93"/>
      <c r="O226" s="146"/>
      <c r="P226" s="324"/>
      <c r="Q226" s="324"/>
      <c r="R226" s="324"/>
      <c r="S226" s="139"/>
      <c r="T226" s="97"/>
      <c r="U226" s="92"/>
      <c r="V226" s="107"/>
      <c r="W226" s="92"/>
      <c r="X226" s="99">
        <f t="shared" si="9"/>
        <v>0.23</v>
      </c>
      <c r="Y226" s="100" t="s">
        <v>407</v>
      </c>
      <c r="Z226" s="101"/>
      <c r="AA226" s="298" t="s">
        <v>180</v>
      </c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3">
        <v>0.5</v>
      </c>
      <c r="AR226" s="160">
        <v>1</v>
      </c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</row>
    <row r="227" spans="1:54" s="102" customFormat="1" ht="30">
      <c r="A227" s="87" t="s">
        <v>185</v>
      </c>
      <c r="B227" s="216"/>
      <c r="C227" s="87" t="s">
        <v>295</v>
      </c>
      <c r="D227" s="335"/>
      <c r="E227" s="335"/>
      <c r="F227" s="335"/>
      <c r="G227" s="335"/>
      <c r="H227" s="90">
        <v>2</v>
      </c>
      <c r="I227" s="91">
        <v>6</v>
      </c>
      <c r="J227" s="92"/>
      <c r="K227" s="92"/>
      <c r="L227" s="92"/>
      <c r="M227" s="92"/>
      <c r="N227" s="93"/>
      <c r="O227" s="146"/>
      <c r="P227" s="324"/>
      <c r="Q227" s="324"/>
      <c r="R227" s="324"/>
      <c r="S227" s="139"/>
      <c r="T227" s="97"/>
      <c r="U227" s="92"/>
      <c r="V227" s="107"/>
      <c r="W227" s="92"/>
      <c r="X227" s="99">
        <f t="shared" si="9"/>
        <v>0</v>
      </c>
      <c r="Y227" s="100"/>
      <c r="Z227" s="101"/>
      <c r="AA227" s="298" t="s">
        <v>180</v>
      </c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9"/>
      <c r="AR227" s="160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</row>
    <row r="228" spans="1:44" s="102" customFormat="1" ht="30">
      <c r="A228" s="87" t="s">
        <v>185</v>
      </c>
      <c r="B228" s="216">
        <v>2</v>
      </c>
      <c r="C228" s="87" t="s">
        <v>296</v>
      </c>
      <c r="D228" s="335">
        <v>1.32</v>
      </c>
      <c r="E228" s="335">
        <v>1.36</v>
      </c>
      <c r="F228" s="335">
        <v>1.3</v>
      </c>
      <c r="G228" s="335">
        <v>1.32</v>
      </c>
      <c r="H228" s="90">
        <v>2</v>
      </c>
      <c r="I228" s="91">
        <v>6</v>
      </c>
      <c r="J228" s="92">
        <v>2</v>
      </c>
      <c r="K228" s="341" t="s">
        <v>133</v>
      </c>
      <c r="L228" s="92">
        <v>15</v>
      </c>
      <c r="M228" s="92">
        <v>0.82</v>
      </c>
      <c r="N228" s="93"/>
      <c r="O228" s="94"/>
      <c r="P228" s="324"/>
      <c r="Q228" s="324"/>
      <c r="R228" s="324"/>
      <c r="S228" s="96"/>
      <c r="T228" s="97"/>
      <c r="U228" s="107"/>
      <c r="V228" s="341"/>
      <c r="W228" s="92"/>
      <c r="X228" s="99">
        <f t="shared" si="9"/>
        <v>0.82</v>
      </c>
      <c r="Y228" s="100" t="s">
        <v>407</v>
      </c>
      <c r="Z228" s="101"/>
      <c r="AA228" s="298" t="s">
        <v>294</v>
      </c>
      <c r="AQ228" s="105">
        <v>3</v>
      </c>
      <c r="AR228" s="127">
        <v>2</v>
      </c>
    </row>
    <row r="229" spans="1:44" s="102" customFormat="1" ht="30">
      <c r="A229" s="87" t="s">
        <v>185</v>
      </c>
      <c r="B229" s="216"/>
      <c r="C229" s="87" t="s">
        <v>297</v>
      </c>
      <c r="D229" s="335"/>
      <c r="E229" s="335"/>
      <c r="F229" s="335"/>
      <c r="G229" s="335"/>
      <c r="H229" s="90">
        <v>2</v>
      </c>
      <c r="I229" s="91">
        <v>6</v>
      </c>
      <c r="J229" s="92"/>
      <c r="K229" s="92"/>
      <c r="L229" s="92"/>
      <c r="M229" s="92"/>
      <c r="N229" s="93"/>
      <c r="O229" s="94"/>
      <c r="P229" s="324"/>
      <c r="Q229" s="324"/>
      <c r="R229" s="324"/>
      <c r="S229" s="96"/>
      <c r="T229" s="97"/>
      <c r="U229" s="107"/>
      <c r="V229" s="341"/>
      <c r="W229" s="92"/>
      <c r="X229" s="99">
        <f t="shared" si="9"/>
        <v>0</v>
      </c>
      <c r="Y229" s="100"/>
      <c r="Z229" s="101"/>
      <c r="AA229" s="298" t="s">
        <v>294</v>
      </c>
      <c r="AQ229" s="105">
        <v>3</v>
      </c>
      <c r="AR229" s="127">
        <v>2</v>
      </c>
    </row>
    <row r="230" spans="1:44" s="102" customFormat="1" ht="30">
      <c r="A230" s="87" t="s">
        <v>185</v>
      </c>
      <c r="B230" s="216">
        <v>3</v>
      </c>
      <c r="C230" s="87" t="s">
        <v>397</v>
      </c>
      <c r="D230" s="325"/>
      <c r="E230" s="325"/>
      <c r="F230" s="325"/>
      <c r="G230" s="325"/>
      <c r="H230" s="90"/>
      <c r="I230" s="321"/>
      <c r="J230" s="107"/>
      <c r="K230" s="107"/>
      <c r="L230" s="107"/>
      <c r="M230" s="107"/>
      <c r="N230" s="93">
        <v>1</v>
      </c>
      <c r="O230" s="94">
        <v>2</v>
      </c>
      <c r="P230" s="324"/>
      <c r="Q230" s="324"/>
      <c r="R230" s="324"/>
      <c r="S230" s="96"/>
      <c r="T230" s="97"/>
      <c r="U230" s="324"/>
      <c r="V230" s="324"/>
      <c r="W230" s="324"/>
      <c r="X230" s="99">
        <f t="shared" si="9"/>
        <v>0</v>
      </c>
      <c r="Y230" s="100"/>
      <c r="Z230" s="101"/>
      <c r="AA230" s="298" t="s">
        <v>294</v>
      </c>
      <c r="AQ230" s="126"/>
      <c r="AR230" s="127"/>
    </row>
    <row r="231" spans="1:44" s="102" customFormat="1" ht="30">
      <c r="A231" s="87" t="s">
        <v>185</v>
      </c>
      <c r="B231" s="216">
        <v>4</v>
      </c>
      <c r="C231" s="87" t="s">
        <v>398</v>
      </c>
      <c r="D231" s="89"/>
      <c r="E231" s="89"/>
      <c r="F231" s="89"/>
      <c r="G231" s="89"/>
      <c r="H231" s="90"/>
      <c r="I231" s="321"/>
      <c r="J231" s="107"/>
      <c r="K231" s="107"/>
      <c r="L231" s="107"/>
      <c r="M231" s="107"/>
      <c r="N231" s="93"/>
      <c r="O231" s="94"/>
      <c r="P231" s="92"/>
      <c r="Q231" s="107"/>
      <c r="R231" s="92"/>
      <c r="S231" s="96">
        <v>3</v>
      </c>
      <c r="T231" s="97">
        <v>2</v>
      </c>
      <c r="U231" s="324"/>
      <c r="V231" s="324"/>
      <c r="W231" s="324"/>
      <c r="X231" s="99">
        <f t="shared" si="9"/>
        <v>0</v>
      </c>
      <c r="Y231" s="100"/>
      <c r="Z231" s="101"/>
      <c r="AA231" s="298" t="s">
        <v>294</v>
      </c>
      <c r="AQ231" s="126"/>
      <c r="AR231" s="127"/>
    </row>
    <row r="232" spans="1:44" s="102" customFormat="1" ht="30">
      <c r="A232" s="87" t="s">
        <v>194</v>
      </c>
      <c r="B232" s="216">
        <v>1</v>
      </c>
      <c r="C232" s="87" t="s">
        <v>298</v>
      </c>
      <c r="D232" s="335"/>
      <c r="E232" s="335"/>
      <c r="F232" s="335"/>
      <c r="G232" s="335" t="s">
        <v>229</v>
      </c>
      <c r="H232" s="336">
        <v>1</v>
      </c>
      <c r="I232" s="344">
        <v>4</v>
      </c>
      <c r="J232" s="324"/>
      <c r="K232" s="324"/>
      <c r="L232" s="324"/>
      <c r="M232" s="324"/>
      <c r="N232" s="338">
        <v>1</v>
      </c>
      <c r="O232" s="94">
        <v>1</v>
      </c>
      <c r="P232" s="92"/>
      <c r="Q232" s="341"/>
      <c r="R232" s="341"/>
      <c r="S232" s="96">
        <v>3</v>
      </c>
      <c r="T232" s="340">
        <v>2</v>
      </c>
      <c r="U232" s="92"/>
      <c r="V232" s="107"/>
      <c r="W232" s="92"/>
      <c r="X232" s="99">
        <f aca="true" t="shared" si="10" ref="X232:X290">M232+R232+W232</f>
        <v>0</v>
      </c>
      <c r="Y232" s="100"/>
      <c r="Z232" s="101"/>
      <c r="AA232" s="298" t="s">
        <v>299</v>
      </c>
      <c r="AQ232" s="126"/>
      <c r="AR232" s="127"/>
    </row>
    <row r="233" spans="1:44" s="102" customFormat="1" ht="32.25" customHeight="1">
      <c r="A233" s="87" t="s">
        <v>194</v>
      </c>
      <c r="B233" s="216">
        <v>2</v>
      </c>
      <c r="C233" s="87" t="s">
        <v>301</v>
      </c>
      <c r="D233" s="347">
        <v>0.75</v>
      </c>
      <c r="E233" s="347">
        <v>0.73</v>
      </c>
      <c r="F233" s="347">
        <v>0.74</v>
      </c>
      <c r="G233" s="347">
        <v>0.75</v>
      </c>
      <c r="H233" s="336">
        <v>1</v>
      </c>
      <c r="I233" s="344">
        <v>6.5</v>
      </c>
      <c r="J233" s="92">
        <v>1</v>
      </c>
      <c r="K233" s="92">
        <v>1.5</v>
      </c>
      <c r="L233" s="92">
        <v>8</v>
      </c>
      <c r="M233" s="92">
        <v>0.16894578457048193</v>
      </c>
      <c r="N233" s="338"/>
      <c r="O233" s="94"/>
      <c r="P233" s="324"/>
      <c r="Q233" s="341"/>
      <c r="R233" s="341"/>
      <c r="S233" s="96"/>
      <c r="T233" s="340"/>
      <c r="U233" s="107"/>
      <c r="V233" s="107"/>
      <c r="W233" s="107"/>
      <c r="X233" s="99">
        <f t="shared" si="10"/>
        <v>0.16894578457048193</v>
      </c>
      <c r="Y233" s="100" t="s">
        <v>407</v>
      </c>
      <c r="Z233" s="101"/>
      <c r="AA233" s="298" t="s">
        <v>299</v>
      </c>
      <c r="AQ233" s="126"/>
      <c r="AR233" s="127"/>
    </row>
    <row r="234" spans="1:44" s="102" customFormat="1" ht="33" customHeight="1">
      <c r="A234" s="87" t="s">
        <v>194</v>
      </c>
      <c r="B234" s="216">
        <v>3</v>
      </c>
      <c r="C234" s="87" t="s">
        <v>300</v>
      </c>
      <c r="D234" s="347">
        <v>0.95</v>
      </c>
      <c r="E234" s="347">
        <v>0.9</v>
      </c>
      <c r="F234" s="347">
        <v>0.95</v>
      </c>
      <c r="G234" s="347">
        <v>0.9</v>
      </c>
      <c r="H234" s="336">
        <v>1</v>
      </c>
      <c r="I234" s="344">
        <v>6</v>
      </c>
      <c r="J234" s="92">
        <v>1</v>
      </c>
      <c r="K234" s="92">
        <v>1.2</v>
      </c>
      <c r="L234" s="92">
        <v>6</v>
      </c>
      <c r="M234" s="92">
        <v>0.06471415093896334</v>
      </c>
      <c r="N234" s="338"/>
      <c r="O234" s="362"/>
      <c r="P234" s="324"/>
      <c r="Q234" s="324"/>
      <c r="R234" s="324"/>
      <c r="S234" s="96"/>
      <c r="T234" s="340"/>
      <c r="U234" s="107"/>
      <c r="V234" s="107"/>
      <c r="W234" s="107"/>
      <c r="X234" s="99">
        <f t="shared" si="10"/>
        <v>0.06471415093896334</v>
      </c>
      <c r="Y234" s="100" t="s">
        <v>407</v>
      </c>
      <c r="Z234" s="101"/>
      <c r="AA234" s="298" t="s">
        <v>299</v>
      </c>
      <c r="AQ234" s="331"/>
      <c r="AR234" s="332"/>
    </row>
    <row r="235" spans="1:44" s="102" customFormat="1" ht="30">
      <c r="A235" s="87" t="s">
        <v>194</v>
      </c>
      <c r="B235" s="216"/>
      <c r="C235" s="87" t="s">
        <v>302</v>
      </c>
      <c r="D235" s="335"/>
      <c r="E235" s="335"/>
      <c r="F235" s="335"/>
      <c r="G235" s="335"/>
      <c r="H235" s="336">
        <v>1</v>
      </c>
      <c r="I235" s="344">
        <v>6</v>
      </c>
      <c r="J235" s="324"/>
      <c r="K235" s="324"/>
      <c r="L235" s="341"/>
      <c r="M235" s="341"/>
      <c r="N235" s="338"/>
      <c r="O235" s="362"/>
      <c r="P235" s="324"/>
      <c r="Q235" s="324"/>
      <c r="R235" s="324"/>
      <c r="S235" s="346"/>
      <c r="T235" s="340"/>
      <c r="U235" s="341"/>
      <c r="V235" s="341"/>
      <c r="W235" s="341"/>
      <c r="X235" s="99">
        <f t="shared" si="10"/>
        <v>0</v>
      </c>
      <c r="Y235" s="100"/>
      <c r="Z235" s="101"/>
      <c r="AA235" s="298" t="s">
        <v>299</v>
      </c>
      <c r="AQ235" s="331"/>
      <c r="AR235" s="332"/>
    </row>
    <row r="236" spans="1:54" s="206" customFormat="1" ht="30">
      <c r="A236" s="87" t="s">
        <v>85</v>
      </c>
      <c r="B236" s="88">
        <v>1</v>
      </c>
      <c r="C236" s="87" t="s">
        <v>303</v>
      </c>
      <c r="D236" s="335"/>
      <c r="E236" s="335"/>
      <c r="F236" s="335"/>
      <c r="G236" s="335"/>
      <c r="H236" s="90">
        <v>1</v>
      </c>
      <c r="I236" s="91">
        <v>6</v>
      </c>
      <c r="J236" s="92"/>
      <c r="K236" s="107"/>
      <c r="L236" s="107"/>
      <c r="M236" s="92"/>
      <c r="N236" s="131"/>
      <c r="O236" s="94"/>
      <c r="P236" s="324"/>
      <c r="Q236" s="324"/>
      <c r="R236" s="324"/>
      <c r="S236" s="174"/>
      <c r="T236" s="352"/>
      <c r="U236" s="107"/>
      <c r="V236" s="107"/>
      <c r="W236" s="107"/>
      <c r="X236" s="99">
        <f t="shared" si="10"/>
        <v>0</v>
      </c>
      <c r="Y236" s="503"/>
      <c r="Z236" s="215"/>
      <c r="AA236" s="202" t="s">
        <v>304</v>
      </c>
      <c r="AB236" s="206">
        <f>G236-F236</f>
        <v>0</v>
      </c>
      <c r="AC236" s="206">
        <f>+G236</f>
        <v>0</v>
      </c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331"/>
      <c r="AR236" s="33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</row>
    <row r="237" spans="1:54" s="206" customFormat="1" ht="30">
      <c r="A237" s="87" t="s">
        <v>85</v>
      </c>
      <c r="B237" s="88">
        <v>2</v>
      </c>
      <c r="C237" s="87" t="s">
        <v>305</v>
      </c>
      <c r="D237" s="335">
        <v>1.1</v>
      </c>
      <c r="E237" s="335">
        <v>1.2</v>
      </c>
      <c r="F237" s="335">
        <v>1.2</v>
      </c>
      <c r="G237" s="335">
        <v>1.4</v>
      </c>
      <c r="H237" s="90">
        <v>1</v>
      </c>
      <c r="I237" s="91">
        <v>6</v>
      </c>
      <c r="J237" s="92"/>
      <c r="K237" s="107"/>
      <c r="L237" s="107"/>
      <c r="M237" s="92"/>
      <c r="N237" s="131"/>
      <c r="O237" s="94"/>
      <c r="P237" s="324"/>
      <c r="Q237" s="324"/>
      <c r="R237" s="324"/>
      <c r="S237" s="174"/>
      <c r="T237" s="352"/>
      <c r="U237" s="107"/>
      <c r="V237" s="107"/>
      <c r="W237" s="107"/>
      <c r="X237" s="99">
        <f t="shared" si="10"/>
        <v>0</v>
      </c>
      <c r="Y237" s="503"/>
      <c r="Z237" s="215"/>
      <c r="AA237" s="202" t="s">
        <v>304</v>
      </c>
      <c r="AB237" s="206" t="e">
        <f>#N/A</f>
        <v>#N/A</v>
      </c>
      <c r="AC237" s="206" t="e">
        <f>#N/A</f>
        <v>#N/A</v>
      </c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331"/>
      <c r="AR237" s="33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</row>
    <row r="238" spans="1:54" s="102" customFormat="1" ht="30">
      <c r="A238" s="87" t="s">
        <v>85</v>
      </c>
      <c r="B238" s="216">
        <v>3</v>
      </c>
      <c r="C238" s="87" t="s">
        <v>306</v>
      </c>
      <c r="D238" s="335"/>
      <c r="E238" s="335"/>
      <c r="F238" s="335"/>
      <c r="G238" s="335"/>
      <c r="H238" s="90">
        <v>1</v>
      </c>
      <c r="I238" s="91">
        <v>4</v>
      </c>
      <c r="J238" s="92"/>
      <c r="K238" s="107"/>
      <c r="L238" s="107"/>
      <c r="M238" s="92"/>
      <c r="N238" s="93"/>
      <c r="O238" s="146"/>
      <c r="P238" s="324"/>
      <c r="Q238" s="324"/>
      <c r="R238" s="324"/>
      <c r="S238" s="96">
        <v>0.25</v>
      </c>
      <c r="T238" s="340">
        <v>1</v>
      </c>
      <c r="U238" s="341"/>
      <c r="V238" s="92"/>
      <c r="W238" s="92"/>
      <c r="X238" s="99">
        <f t="shared" si="10"/>
        <v>0</v>
      </c>
      <c r="Y238" s="100"/>
      <c r="Z238" s="101"/>
      <c r="AA238" s="298" t="s">
        <v>304</v>
      </c>
      <c r="AB238" s="129" t="e">
        <f>#N/A</f>
        <v>#N/A</v>
      </c>
      <c r="AC238" s="179" t="e">
        <f>#N/A</f>
        <v>#N/A</v>
      </c>
      <c r="AD238" s="353"/>
      <c r="AE238" s="353"/>
      <c r="AF238" s="353"/>
      <c r="AG238" s="354"/>
      <c r="AH238" s="353"/>
      <c r="AI238" s="206"/>
      <c r="AJ238" s="206"/>
      <c r="AK238" s="206"/>
      <c r="AL238" s="206"/>
      <c r="AM238" s="206"/>
      <c r="AN238" s="206"/>
      <c r="AO238" s="206"/>
      <c r="AP238" s="206"/>
      <c r="AQ238" s="141">
        <v>2</v>
      </c>
      <c r="AR238" s="207">
        <v>1</v>
      </c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</row>
    <row r="239" spans="1:54" s="102" customFormat="1" ht="30">
      <c r="A239" s="87" t="s">
        <v>85</v>
      </c>
      <c r="B239" s="216">
        <v>4</v>
      </c>
      <c r="C239" s="87" t="s">
        <v>307</v>
      </c>
      <c r="D239" s="335"/>
      <c r="E239" s="335"/>
      <c r="F239" s="335"/>
      <c r="G239" s="335"/>
      <c r="H239" s="90">
        <v>1</v>
      </c>
      <c r="I239" s="91">
        <v>4</v>
      </c>
      <c r="J239" s="92"/>
      <c r="K239" s="107"/>
      <c r="L239" s="107"/>
      <c r="M239" s="92"/>
      <c r="N239" s="93"/>
      <c r="O239" s="146"/>
      <c r="P239" s="324"/>
      <c r="Q239" s="324"/>
      <c r="R239" s="324"/>
      <c r="S239" s="96">
        <v>0.25</v>
      </c>
      <c r="T239" s="340">
        <v>1</v>
      </c>
      <c r="U239" s="341"/>
      <c r="V239" s="92"/>
      <c r="W239" s="92"/>
      <c r="X239" s="99">
        <f t="shared" si="10"/>
        <v>0</v>
      </c>
      <c r="Y239" s="100"/>
      <c r="Z239" s="101"/>
      <c r="AA239" s="298" t="s">
        <v>304</v>
      </c>
      <c r="AB239" s="129" t="e">
        <f>#N/A</f>
        <v>#N/A</v>
      </c>
      <c r="AC239" s="179" t="e">
        <f>#N/A</f>
        <v>#N/A</v>
      </c>
      <c r="AD239" s="353"/>
      <c r="AE239" s="353"/>
      <c r="AF239" s="353"/>
      <c r="AG239" s="354"/>
      <c r="AH239" s="353"/>
      <c r="AI239" s="206"/>
      <c r="AJ239" s="206"/>
      <c r="AK239" s="206"/>
      <c r="AL239" s="206"/>
      <c r="AM239" s="206"/>
      <c r="AN239" s="206"/>
      <c r="AO239" s="206"/>
      <c r="AP239" s="206"/>
      <c r="AQ239" s="141">
        <v>2</v>
      </c>
      <c r="AR239" s="207">
        <v>1</v>
      </c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</row>
    <row r="240" spans="1:44" s="102" customFormat="1" ht="30">
      <c r="A240" s="87" t="s">
        <v>85</v>
      </c>
      <c r="B240" s="216">
        <v>5</v>
      </c>
      <c r="C240" s="87" t="s">
        <v>308</v>
      </c>
      <c r="D240" s="335"/>
      <c r="E240" s="335"/>
      <c r="F240" s="335"/>
      <c r="G240" s="335"/>
      <c r="H240" s="90">
        <v>1</v>
      </c>
      <c r="I240" s="91">
        <v>4</v>
      </c>
      <c r="J240" s="92"/>
      <c r="K240" s="107"/>
      <c r="L240" s="107"/>
      <c r="M240" s="92"/>
      <c r="N240" s="93">
        <v>0.5</v>
      </c>
      <c r="O240" s="94">
        <v>2</v>
      </c>
      <c r="P240" s="92"/>
      <c r="Q240" s="341"/>
      <c r="R240" s="92"/>
      <c r="S240" s="174"/>
      <c r="T240" s="352"/>
      <c r="U240" s="107"/>
      <c r="V240" s="107"/>
      <c r="W240" s="107"/>
      <c r="X240" s="99">
        <f t="shared" si="10"/>
        <v>0</v>
      </c>
      <c r="Y240" s="100"/>
      <c r="Z240" s="101"/>
      <c r="AA240" s="298" t="s">
        <v>304</v>
      </c>
      <c r="AB240" s="129" t="e">
        <f>#N/A</f>
        <v>#N/A</v>
      </c>
      <c r="AC240" s="179" t="e">
        <f>#N/A</f>
        <v>#N/A</v>
      </c>
      <c r="AQ240" s="349"/>
      <c r="AR240" s="349"/>
    </row>
    <row r="241" spans="1:54" s="206" customFormat="1" ht="30">
      <c r="A241" s="87" t="s">
        <v>85</v>
      </c>
      <c r="B241" s="88">
        <v>6</v>
      </c>
      <c r="C241" s="87" t="s">
        <v>309</v>
      </c>
      <c r="D241" s="335"/>
      <c r="E241" s="335"/>
      <c r="F241" s="335"/>
      <c r="G241" s="335"/>
      <c r="H241" s="90">
        <v>1</v>
      </c>
      <c r="I241" s="91">
        <v>4</v>
      </c>
      <c r="J241" s="92"/>
      <c r="K241" s="107"/>
      <c r="L241" s="107"/>
      <c r="M241" s="92"/>
      <c r="N241" s="131"/>
      <c r="O241" s="94"/>
      <c r="P241" s="92"/>
      <c r="Q241" s="92"/>
      <c r="R241" s="92"/>
      <c r="S241" s="96"/>
      <c r="T241" s="97"/>
      <c r="U241" s="107"/>
      <c r="V241" s="107"/>
      <c r="W241" s="107"/>
      <c r="X241" s="99">
        <f t="shared" si="10"/>
        <v>0</v>
      </c>
      <c r="Y241" s="503"/>
      <c r="Z241" s="215"/>
      <c r="AA241" s="202" t="s">
        <v>304</v>
      </c>
      <c r="AB241" s="206" t="e">
        <f>#N/A</f>
        <v>#N/A</v>
      </c>
      <c r="AC241" s="206" t="e">
        <f>#N/A</f>
        <v>#N/A</v>
      </c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349"/>
      <c r="AR241" s="349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</row>
    <row r="242" spans="1:44" s="102" customFormat="1" ht="30">
      <c r="A242" s="87" t="s">
        <v>85</v>
      </c>
      <c r="B242" s="216">
        <v>7</v>
      </c>
      <c r="C242" s="87" t="s">
        <v>310</v>
      </c>
      <c r="D242" s="335"/>
      <c r="E242" s="335"/>
      <c r="F242" s="335"/>
      <c r="G242" s="335"/>
      <c r="H242" s="90">
        <v>1</v>
      </c>
      <c r="I242" s="91">
        <v>6</v>
      </c>
      <c r="J242" s="92"/>
      <c r="K242" s="107"/>
      <c r="L242" s="107"/>
      <c r="M242" s="92"/>
      <c r="N242" s="93"/>
      <c r="O242" s="146"/>
      <c r="P242" s="107"/>
      <c r="Q242" s="107"/>
      <c r="R242" s="107"/>
      <c r="S242" s="174"/>
      <c r="T242" s="352"/>
      <c r="U242" s="107"/>
      <c r="V242" s="107"/>
      <c r="W242" s="107"/>
      <c r="X242" s="99">
        <f t="shared" si="10"/>
        <v>0</v>
      </c>
      <c r="Y242" s="100"/>
      <c r="Z242" s="101"/>
      <c r="AA242" s="298" t="s">
        <v>304</v>
      </c>
      <c r="AB242" s="129" t="e">
        <f>#N/A</f>
        <v>#N/A</v>
      </c>
      <c r="AC242" s="179" t="e">
        <f>#N/A</f>
        <v>#N/A</v>
      </c>
      <c r="AQ242" s="349"/>
      <c r="AR242" s="349"/>
    </row>
    <row r="243" spans="1:44" s="206" customFormat="1" ht="25.5" customHeight="1">
      <c r="A243" s="87" t="s">
        <v>85</v>
      </c>
      <c r="B243" s="88">
        <v>8</v>
      </c>
      <c r="C243" s="87" t="s">
        <v>311</v>
      </c>
      <c r="D243" s="335"/>
      <c r="E243" s="335"/>
      <c r="F243" s="335"/>
      <c r="G243" s="335"/>
      <c r="H243" s="90">
        <v>1</v>
      </c>
      <c r="I243" s="91">
        <v>4</v>
      </c>
      <c r="J243" s="92"/>
      <c r="K243" s="107"/>
      <c r="L243" s="107"/>
      <c r="M243" s="92"/>
      <c r="N243" s="131"/>
      <c r="O243" s="94"/>
      <c r="P243" s="92"/>
      <c r="Q243" s="92"/>
      <c r="R243" s="92"/>
      <c r="S243" s="96"/>
      <c r="T243" s="97"/>
      <c r="U243" s="107"/>
      <c r="V243" s="107"/>
      <c r="W243" s="107"/>
      <c r="X243" s="99">
        <f t="shared" si="10"/>
        <v>0</v>
      </c>
      <c r="Y243" s="503"/>
      <c r="Z243" s="215"/>
      <c r="AA243" s="202" t="s">
        <v>304</v>
      </c>
      <c r="AB243" s="206" t="e">
        <f>#N/A</f>
        <v>#N/A</v>
      </c>
      <c r="AC243" s="206" t="e">
        <f>#N/A</f>
        <v>#N/A</v>
      </c>
      <c r="AD243" s="353"/>
      <c r="AE243" s="353"/>
      <c r="AF243" s="353"/>
      <c r="AG243" s="354"/>
      <c r="AH243" s="353"/>
      <c r="AQ243" s="141">
        <v>1</v>
      </c>
      <c r="AR243" s="207">
        <v>1</v>
      </c>
    </row>
    <row r="244" spans="1:44" s="102" customFormat="1" ht="23.25" customHeight="1">
      <c r="A244" s="87" t="s">
        <v>85</v>
      </c>
      <c r="B244" s="216">
        <v>9</v>
      </c>
      <c r="C244" s="87" t="s">
        <v>312</v>
      </c>
      <c r="D244" s="335"/>
      <c r="E244" s="335"/>
      <c r="F244" s="335"/>
      <c r="G244" s="335"/>
      <c r="H244" s="90">
        <v>1</v>
      </c>
      <c r="I244" s="91">
        <v>4</v>
      </c>
      <c r="J244" s="92"/>
      <c r="K244" s="107"/>
      <c r="L244" s="107"/>
      <c r="M244" s="92"/>
      <c r="N244" s="93"/>
      <c r="O244" s="146"/>
      <c r="P244" s="107"/>
      <c r="Q244" s="107"/>
      <c r="R244" s="107"/>
      <c r="S244" s="174">
        <v>1</v>
      </c>
      <c r="T244" s="340">
        <v>2</v>
      </c>
      <c r="U244" s="341"/>
      <c r="V244" s="92"/>
      <c r="W244" s="92"/>
      <c r="X244" s="99">
        <f t="shared" si="10"/>
        <v>0</v>
      </c>
      <c r="Y244" s="100"/>
      <c r="Z244" s="101"/>
      <c r="AA244" s="298" t="s">
        <v>304</v>
      </c>
      <c r="AB244" s="129" t="e">
        <f>#N/A</f>
        <v>#N/A</v>
      </c>
      <c r="AC244" s="179" t="e">
        <f>#N/A</f>
        <v>#N/A</v>
      </c>
      <c r="AQ244" s="349"/>
      <c r="AR244" s="349"/>
    </row>
    <row r="245" spans="1:54" s="102" customFormat="1" ht="23.25" customHeight="1">
      <c r="A245" s="87" t="s">
        <v>85</v>
      </c>
      <c r="B245" s="216">
        <v>10</v>
      </c>
      <c r="C245" s="87" t="s">
        <v>313</v>
      </c>
      <c r="D245" s="335">
        <v>0.85</v>
      </c>
      <c r="E245" s="335">
        <v>1.2</v>
      </c>
      <c r="F245" s="335">
        <v>0.85</v>
      </c>
      <c r="G245" s="335">
        <v>1.4</v>
      </c>
      <c r="H245" s="90">
        <v>1</v>
      </c>
      <c r="I245" s="91">
        <v>6</v>
      </c>
      <c r="J245" s="92"/>
      <c r="K245" s="107"/>
      <c r="L245" s="107"/>
      <c r="M245" s="92"/>
      <c r="N245" s="93"/>
      <c r="O245" s="146"/>
      <c r="P245" s="107"/>
      <c r="Q245" s="107"/>
      <c r="R245" s="107"/>
      <c r="S245" s="174"/>
      <c r="T245" s="352"/>
      <c r="U245" s="107"/>
      <c r="V245" s="107"/>
      <c r="W245" s="107"/>
      <c r="X245" s="99">
        <f t="shared" si="10"/>
        <v>0</v>
      </c>
      <c r="Y245" s="100"/>
      <c r="Z245" s="101"/>
      <c r="AA245" s="298" t="s">
        <v>304</v>
      </c>
      <c r="AB245" s="129" t="e">
        <f>#N/A</f>
        <v>#N/A</v>
      </c>
      <c r="AC245" s="179" t="e">
        <f>#N/A</f>
        <v>#N/A</v>
      </c>
      <c r="AD245" s="353"/>
      <c r="AE245" s="353"/>
      <c r="AF245" s="353"/>
      <c r="AG245" s="354"/>
      <c r="AH245" s="353"/>
      <c r="AI245" s="206"/>
      <c r="AJ245" s="206"/>
      <c r="AK245" s="206"/>
      <c r="AL245" s="206"/>
      <c r="AM245" s="206"/>
      <c r="AN245" s="206"/>
      <c r="AO245" s="206"/>
      <c r="AP245" s="206"/>
      <c r="AQ245" s="141"/>
      <c r="AR245" s="207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</row>
    <row r="246" spans="1:44" s="102" customFormat="1" ht="23.25" customHeight="1">
      <c r="A246" s="87" t="s">
        <v>85</v>
      </c>
      <c r="B246" s="216">
        <v>11</v>
      </c>
      <c r="C246" s="87" t="s">
        <v>314</v>
      </c>
      <c r="D246" s="335">
        <v>0.85</v>
      </c>
      <c r="E246" s="335">
        <v>1.2</v>
      </c>
      <c r="F246" s="335">
        <v>0.85</v>
      </c>
      <c r="G246" s="335">
        <v>1.4</v>
      </c>
      <c r="H246" s="90">
        <v>1</v>
      </c>
      <c r="I246" s="91">
        <v>4</v>
      </c>
      <c r="J246" s="92"/>
      <c r="K246" s="107"/>
      <c r="L246" s="107"/>
      <c r="M246" s="92"/>
      <c r="N246" s="93"/>
      <c r="O246" s="146"/>
      <c r="P246" s="107"/>
      <c r="Q246" s="107"/>
      <c r="R246" s="107"/>
      <c r="S246" s="174"/>
      <c r="T246" s="352"/>
      <c r="U246" s="107"/>
      <c r="V246" s="107"/>
      <c r="W246" s="107"/>
      <c r="X246" s="99">
        <f t="shared" si="10"/>
        <v>0</v>
      </c>
      <c r="Y246" s="100"/>
      <c r="Z246" s="101"/>
      <c r="AA246" s="298" t="s">
        <v>304</v>
      </c>
      <c r="AB246" s="129" t="e">
        <f>#N/A</f>
        <v>#N/A</v>
      </c>
      <c r="AC246" s="179" t="e">
        <f>#N/A</f>
        <v>#N/A</v>
      </c>
      <c r="AQ246" s="349">
        <v>1</v>
      </c>
      <c r="AR246" s="384">
        <v>1</v>
      </c>
    </row>
    <row r="247" spans="1:44" s="102" customFormat="1" ht="23.25" customHeight="1">
      <c r="A247" s="87" t="s">
        <v>85</v>
      </c>
      <c r="B247" s="216">
        <v>12</v>
      </c>
      <c r="C247" s="87" t="s">
        <v>315</v>
      </c>
      <c r="D247" s="335">
        <v>0.7</v>
      </c>
      <c r="E247" s="335">
        <v>1.3</v>
      </c>
      <c r="F247" s="335">
        <v>0.8</v>
      </c>
      <c r="G247" s="335">
        <v>1.45</v>
      </c>
      <c r="H247" s="90">
        <v>1</v>
      </c>
      <c r="I247" s="91">
        <v>4</v>
      </c>
      <c r="J247" s="92"/>
      <c r="K247" s="92"/>
      <c r="L247" s="107"/>
      <c r="M247" s="92"/>
      <c r="N247" s="93">
        <v>1</v>
      </c>
      <c r="O247" s="94">
        <v>2</v>
      </c>
      <c r="P247" s="92"/>
      <c r="Q247" s="92"/>
      <c r="R247" s="175"/>
      <c r="S247" s="174"/>
      <c r="T247" s="352"/>
      <c r="U247" s="107"/>
      <c r="V247" s="107"/>
      <c r="W247" s="107"/>
      <c r="X247" s="99">
        <f t="shared" si="10"/>
        <v>0</v>
      </c>
      <c r="Y247" s="100"/>
      <c r="Z247" s="101"/>
      <c r="AA247" s="298" t="s">
        <v>304</v>
      </c>
      <c r="AB247" s="129" t="e">
        <f>#N/A</f>
        <v>#N/A</v>
      </c>
      <c r="AC247" s="179" t="e">
        <f>#N/A</f>
        <v>#N/A</v>
      </c>
      <c r="AQ247" s="349"/>
      <c r="AR247" s="349"/>
    </row>
    <row r="248" spans="1:44" s="102" customFormat="1" ht="23.25" customHeight="1">
      <c r="A248" s="87" t="s">
        <v>85</v>
      </c>
      <c r="B248" s="216">
        <v>13</v>
      </c>
      <c r="C248" s="87" t="s">
        <v>316</v>
      </c>
      <c r="D248" s="335">
        <v>0.9</v>
      </c>
      <c r="E248" s="335">
        <v>1.3</v>
      </c>
      <c r="F248" s="335">
        <v>0.9</v>
      </c>
      <c r="G248" s="335">
        <v>1.45</v>
      </c>
      <c r="H248" s="90">
        <v>1</v>
      </c>
      <c r="I248" s="91">
        <v>6</v>
      </c>
      <c r="J248" s="92"/>
      <c r="K248" s="92"/>
      <c r="L248" s="107"/>
      <c r="M248" s="92"/>
      <c r="N248" s="93">
        <v>2</v>
      </c>
      <c r="O248" s="94">
        <v>2</v>
      </c>
      <c r="P248" s="92"/>
      <c r="Q248" s="175"/>
      <c r="R248" s="175"/>
      <c r="S248" s="174"/>
      <c r="T248" s="352"/>
      <c r="U248" s="107"/>
      <c r="V248" s="107"/>
      <c r="W248" s="107"/>
      <c r="X248" s="99">
        <f t="shared" si="10"/>
        <v>0</v>
      </c>
      <c r="Y248" s="100"/>
      <c r="Z248" s="101"/>
      <c r="AA248" s="298" t="s">
        <v>304</v>
      </c>
      <c r="AB248" s="129" t="e">
        <f>#N/A</f>
        <v>#N/A</v>
      </c>
      <c r="AC248" s="179" t="e">
        <f>#N/A</f>
        <v>#N/A</v>
      </c>
      <c r="AQ248" s="349"/>
      <c r="AR248" s="349"/>
    </row>
    <row r="249" spans="1:44" s="102" customFormat="1" ht="23.25" customHeight="1">
      <c r="A249" s="87" t="s">
        <v>85</v>
      </c>
      <c r="B249" s="216">
        <v>14</v>
      </c>
      <c r="C249" s="87" t="s">
        <v>317</v>
      </c>
      <c r="D249" s="335">
        <v>0.7</v>
      </c>
      <c r="E249" s="335">
        <v>1.3</v>
      </c>
      <c r="F249" s="335">
        <v>0.8</v>
      </c>
      <c r="G249" s="335">
        <v>1.45</v>
      </c>
      <c r="H249" s="90">
        <v>1</v>
      </c>
      <c r="I249" s="91">
        <v>4</v>
      </c>
      <c r="J249" s="92"/>
      <c r="K249" s="92"/>
      <c r="L249" s="107"/>
      <c r="M249" s="92"/>
      <c r="N249" s="93">
        <v>1</v>
      </c>
      <c r="O249" s="94">
        <v>2</v>
      </c>
      <c r="P249" s="92"/>
      <c r="Q249" s="175"/>
      <c r="R249" s="175"/>
      <c r="S249" s="174"/>
      <c r="T249" s="352"/>
      <c r="U249" s="107"/>
      <c r="V249" s="107"/>
      <c r="W249" s="107"/>
      <c r="X249" s="99">
        <f t="shared" si="10"/>
        <v>0</v>
      </c>
      <c r="Y249" s="100"/>
      <c r="Z249" s="101"/>
      <c r="AA249" s="298" t="s">
        <v>304</v>
      </c>
      <c r="AB249" s="129" t="e">
        <f>#N/A</f>
        <v>#N/A</v>
      </c>
      <c r="AC249" s="179" t="e">
        <f>#N/A</f>
        <v>#N/A</v>
      </c>
      <c r="AQ249" s="349"/>
      <c r="AR249" s="349"/>
    </row>
    <row r="250" spans="1:44" s="102" customFormat="1" ht="23.25" customHeight="1">
      <c r="A250" s="87" t="s">
        <v>85</v>
      </c>
      <c r="B250" s="216">
        <v>15</v>
      </c>
      <c r="C250" s="87" t="s">
        <v>318</v>
      </c>
      <c r="D250" s="335">
        <v>0.8</v>
      </c>
      <c r="E250" s="335">
        <v>1.3</v>
      </c>
      <c r="F250" s="335">
        <v>0.9</v>
      </c>
      <c r="G250" s="335">
        <v>1.45</v>
      </c>
      <c r="H250" s="90">
        <v>1</v>
      </c>
      <c r="I250" s="91">
        <v>4</v>
      </c>
      <c r="J250" s="92"/>
      <c r="K250" s="92"/>
      <c r="L250" s="107"/>
      <c r="M250" s="92"/>
      <c r="N250" s="93"/>
      <c r="O250" s="94"/>
      <c r="P250" s="107"/>
      <c r="Q250" s="107"/>
      <c r="R250" s="107"/>
      <c r="S250" s="174"/>
      <c r="T250" s="352"/>
      <c r="U250" s="107"/>
      <c r="V250" s="107"/>
      <c r="W250" s="107"/>
      <c r="X250" s="99">
        <f t="shared" si="10"/>
        <v>0</v>
      </c>
      <c r="Y250" s="100"/>
      <c r="Z250" s="101"/>
      <c r="AA250" s="298" t="s">
        <v>304</v>
      </c>
      <c r="AB250" s="129" t="e">
        <f>#N/A</f>
        <v>#N/A</v>
      </c>
      <c r="AC250" s="179" t="e">
        <f>#N/A</f>
        <v>#N/A</v>
      </c>
      <c r="AQ250" s="349"/>
      <c r="AR250" s="349"/>
    </row>
    <row r="251" spans="1:54" s="157" customFormat="1" ht="23.25" customHeight="1">
      <c r="A251" s="87" t="s">
        <v>85</v>
      </c>
      <c r="B251" s="382">
        <v>16</v>
      </c>
      <c r="C251" s="87" t="s">
        <v>319</v>
      </c>
      <c r="D251" s="335">
        <v>0.95</v>
      </c>
      <c r="E251" s="335">
        <v>1.15</v>
      </c>
      <c r="F251" s="335">
        <v>0.95</v>
      </c>
      <c r="G251" s="335">
        <v>1.35</v>
      </c>
      <c r="H251" s="90">
        <v>1</v>
      </c>
      <c r="I251" s="91">
        <v>6</v>
      </c>
      <c r="J251" s="175"/>
      <c r="K251" s="175"/>
      <c r="L251" s="163"/>
      <c r="M251" s="92"/>
      <c r="N251" s="93">
        <v>3</v>
      </c>
      <c r="O251" s="94">
        <v>2</v>
      </c>
      <c r="P251" s="92"/>
      <c r="Q251" s="175"/>
      <c r="R251" s="175"/>
      <c r="S251" s="174"/>
      <c r="T251" s="352"/>
      <c r="U251" s="107"/>
      <c r="V251" s="163"/>
      <c r="W251" s="163"/>
      <c r="X251" s="99">
        <f t="shared" si="10"/>
        <v>0</v>
      </c>
      <c r="Y251" s="100"/>
      <c r="Z251" s="165"/>
      <c r="AA251" s="383" t="s">
        <v>304</v>
      </c>
      <c r="AB251" s="129" t="e">
        <f>#N/A</f>
        <v>#N/A</v>
      </c>
      <c r="AC251" s="179" t="e">
        <f>#N/A</f>
        <v>#N/A</v>
      </c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349"/>
      <c r="AR251" s="349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</row>
    <row r="252" spans="1:54" s="157" customFormat="1" ht="23.25" customHeight="1">
      <c r="A252" s="87" t="s">
        <v>85</v>
      </c>
      <c r="B252" s="382">
        <v>17</v>
      </c>
      <c r="C252" s="87" t="s">
        <v>393</v>
      </c>
      <c r="D252" s="335">
        <v>0.9</v>
      </c>
      <c r="E252" s="335">
        <v>1.15</v>
      </c>
      <c r="F252" s="335">
        <v>0.9</v>
      </c>
      <c r="G252" s="335">
        <v>1.35</v>
      </c>
      <c r="H252" s="90">
        <v>1</v>
      </c>
      <c r="I252" s="91">
        <v>6</v>
      </c>
      <c r="J252" s="175"/>
      <c r="K252" s="175"/>
      <c r="L252" s="163"/>
      <c r="M252" s="92"/>
      <c r="N252" s="93">
        <v>3</v>
      </c>
      <c r="O252" s="94">
        <v>1</v>
      </c>
      <c r="P252" s="92"/>
      <c r="Q252" s="175"/>
      <c r="R252" s="175"/>
      <c r="S252" s="174"/>
      <c r="T252" s="352"/>
      <c r="U252" s="107"/>
      <c r="V252" s="163"/>
      <c r="W252" s="163"/>
      <c r="X252" s="99">
        <f t="shared" si="10"/>
        <v>0</v>
      </c>
      <c r="Y252" s="100"/>
      <c r="Z252" s="165"/>
      <c r="AA252" s="383" t="s">
        <v>304</v>
      </c>
      <c r="AB252" s="129" t="e">
        <f>#N/A</f>
        <v>#N/A</v>
      </c>
      <c r="AC252" s="179" t="e">
        <f>#N/A</f>
        <v>#N/A</v>
      </c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349"/>
      <c r="AR252" s="349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</row>
    <row r="253" spans="1:54" s="102" customFormat="1" ht="25.5" customHeight="1">
      <c r="A253" s="87" t="s">
        <v>85</v>
      </c>
      <c r="B253" s="216">
        <v>18</v>
      </c>
      <c r="C253" s="87" t="s">
        <v>320</v>
      </c>
      <c r="D253" s="335">
        <v>1.3</v>
      </c>
      <c r="E253" s="335">
        <v>1.3</v>
      </c>
      <c r="F253" s="335">
        <v>1.45</v>
      </c>
      <c r="G253" s="335">
        <v>1.45</v>
      </c>
      <c r="H253" s="90">
        <v>1</v>
      </c>
      <c r="I253" s="91">
        <v>4</v>
      </c>
      <c r="J253" s="92"/>
      <c r="K253" s="107"/>
      <c r="L253" s="163"/>
      <c r="M253" s="92"/>
      <c r="N253" s="93"/>
      <c r="O253" s="94"/>
      <c r="P253" s="107"/>
      <c r="Q253" s="107"/>
      <c r="R253" s="107"/>
      <c r="S253" s="174"/>
      <c r="T253" s="352"/>
      <c r="U253" s="107"/>
      <c r="V253" s="107"/>
      <c r="W253" s="107"/>
      <c r="X253" s="99">
        <f t="shared" si="10"/>
        <v>0</v>
      </c>
      <c r="Y253" s="100"/>
      <c r="Z253" s="101"/>
      <c r="AA253" s="298" t="s">
        <v>304</v>
      </c>
      <c r="AB253" s="129" t="e">
        <f>#N/A</f>
        <v>#N/A</v>
      </c>
      <c r="AC253" s="179" t="e">
        <f>#N/A</f>
        <v>#N/A</v>
      </c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385"/>
      <c r="AR253" s="385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</row>
    <row r="254" spans="1:54" s="102" customFormat="1" ht="23.25" customHeight="1">
      <c r="A254" s="87" t="s">
        <v>85</v>
      </c>
      <c r="B254" s="216">
        <v>19</v>
      </c>
      <c r="C254" s="87" t="s">
        <v>321</v>
      </c>
      <c r="D254" s="335"/>
      <c r="E254" s="335"/>
      <c r="F254" s="335"/>
      <c r="G254" s="335"/>
      <c r="H254" s="90">
        <v>1</v>
      </c>
      <c r="I254" s="91">
        <v>4</v>
      </c>
      <c r="J254" s="92"/>
      <c r="K254" s="107"/>
      <c r="L254" s="107"/>
      <c r="M254" s="92"/>
      <c r="N254" s="93"/>
      <c r="O254" s="94"/>
      <c r="P254" s="107"/>
      <c r="Q254" s="107"/>
      <c r="R254" s="107"/>
      <c r="S254" s="174"/>
      <c r="T254" s="352"/>
      <c r="U254" s="107"/>
      <c r="V254" s="107"/>
      <c r="W254" s="107"/>
      <c r="X254" s="99">
        <f t="shared" si="10"/>
        <v>0</v>
      </c>
      <c r="Y254" s="504"/>
      <c r="Z254" s="101"/>
      <c r="AA254" s="298" t="s">
        <v>304</v>
      </c>
      <c r="AB254" s="129" t="e">
        <f>#N/A</f>
        <v>#N/A</v>
      </c>
      <c r="AC254" s="179" t="e">
        <f>#N/A</f>
        <v>#N/A</v>
      </c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385"/>
      <c r="AR254" s="385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</row>
    <row r="255" spans="1:44" s="102" customFormat="1" ht="23.25" customHeight="1">
      <c r="A255" s="87" t="s">
        <v>85</v>
      </c>
      <c r="B255" s="216">
        <v>20</v>
      </c>
      <c r="C255" s="87" t="s">
        <v>322</v>
      </c>
      <c r="D255" s="335"/>
      <c r="E255" s="335"/>
      <c r="F255" s="335"/>
      <c r="G255" s="335"/>
      <c r="H255" s="90">
        <v>1</v>
      </c>
      <c r="I255" s="91">
        <v>4</v>
      </c>
      <c r="J255" s="92"/>
      <c r="K255" s="107"/>
      <c r="L255" s="107"/>
      <c r="M255" s="92"/>
      <c r="N255" s="93"/>
      <c r="O255" s="94"/>
      <c r="P255" s="107"/>
      <c r="Q255" s="107"/>
      <c r="R255" s="92"/>
      <c r="S255" s="174"/>
      <c r="T255" s="352"/>
      <c r="U255" s="107"/>
      <c r="V255" s="107"/>
      <c r="W255" s="107"/>
      <c r="X255" s="99">
        <f t="shared" si="10"/>
        <v>0</v>
      </c>
      <c r="Y255" s="504"/>
      <c r="Z255" s="101"/>
      <c r="AA255" s="298" t="s">
        <v>304</v>
      </c>
      <c r="AB255" s="129" t="e">
        <f>#N/A</f>
        <v>#N/A</v>
      </c>
      <c r="AC255" s="179" t="e">
        <f>#N/A</f>
        <v>#N/A</v>
      </c>
      <c r="AQ255" s="349"/>
      <c r="AR255" s="349"/>
    </row>
    <row r="256" spans="1:44" s="102" customFormat="1" ht="23.25" customHeight="1">
      <c r="A256" s="87" t="s">
        <v>85</v>
      </c>
      <c r="B256" s="216">
        <v>21</v>
      </c>
      <c r="C256" s="87" t="s">
        <v>323</v>
      </c>
      <c r="D256" s="335"/>
      <c r="E256" s="335"/>
      <c r="F256" s="335"/>
      <c r="G256" s="335"/>
      <c r="H256" s="90">
        <v>1</v>
      </c>
      <c r="I256" s="91" t="s">
        <v>324</v>
      </c>
      <c r="J256" s="92"/>
      <c r="K256" s="107"/>
      <c r="L256" s="163"/>
      <c r="M256" s="92"/>
      <c r="N256" s="93"/>
      <c r="O256" s="94"/>
      <c r="P256" s="107"/>
      <c r="Q256" s="107"/>
      <c r="R256" s="107"/>
      <c r="S256" s="174"/>
      <c r="T256" s="352"/>
      <c r="U256" s="107"/>
      <c r="V256" s="107"/>
      <c r="W256" s="107"/>
      <c r="X256" s="99">
        <f t="shared" si="10"/>
        <v>0</v>
      </c>
      <c r="Y256" s="100"/>
      <c r="Z256" s="101"/>
      <c r="AA256" s="298" t="s">
        <v>304</v>
      </c>
      <c r="AB256" s="129" t="e">
        <f>#N/A</f>
        <v>#N/A</v>
      </c>
      <c r="AC256" s="179" t="e">
        <f>#N/A</f>
        <v>#N/A</v>
      </c>
      <c r="AQ256" s="349"/>
      <c r="AR256" s="349"/>
    </row>
    <row r="257" spans="1:44" s="102" customFormat="1" ht="23.25" customHeight="1">
      <c r="A257" s="87" t="s">
        <v>85</v>
      </c>
      <c r="B257" s="216">
        <v>22</v>
      </c>
      <c r="C257" s="87" t="s">
        <v>325</v>
      </c>
      <c r="D257" s="335">
        <v>0.85</v>
      </c>
      <c r="E257" s="335">
        <v>1.2</v>
      </c>
      <c r="F257" s="335">
        <v>0.9</v>
      </c>
      <c r="G257" s="335">
        <v>1.35</v>
      </c>
      <c r="H257" s="90">
        <v>1</v>
      </c>
      <c r="I257" s="91">
        <v>6</v>
      </c>
      <c r="J257" s="92"/>
      <c r="K257" s="92"/>
      <c r="L257" s="107"/>
      <c r="M257" s="92"/>
      <c r="N257" s="93">
        <v>2</v>
      </c>
      <c r="O257" s="94">
        <v>2</v>
      </c>
      <c r="P257" s="92">
        <v>2</v>
      </c>
      <c r="Q257" s="175">
        <v>11</v>
      </c>
      <c r="R257" s="175">
        <f>158400/1000000</f>
        <v>0.1584</v>
      </c>
      <c r="S257" s="174"/>
      <c r="T257" s="352"/>
      <c r="U257" s="107"/>
      <c r="V257" s="107"/>
      <c r="W257" s="107"/>
      <c r="X257" s="99">
        <f t="shared" si="10"/>
        <v>0.1584</v>
      </c>
      <c r="Y257" s="100"/>
      <c r="Z257" s="101"/>
      <c r="AA257" s="298" t="s">
        <v>304</v>
      </c>
      <c r="AB257" s="129" t="e">
        <f>#N/A</f>
        <v>#N/A</v>
      </c>
      <c r="AC257" s="179" t="e">
        <f>#N/A</f>
        <v>#N/A</v>
      </c>
      <c r="AQ257" s="349"/>
      <c r="AR257" s="349"/>
    </row>
    <row r="258" spans="1:44" s="102" customFormat="1" ht="23.25" customHeight="1">
      <c r="A258" s="87" t="s">
        <v>85</v>
      </c>
      <c r="B258" s="216">
        <v>23</v>
      </c>
      <c r="C258" s="87" t="s">
        <v>326</v>
      </c>
      <c r="D258" s="335">
        <v>0.85</v>
      </c>
      <c r="E258" s="335">
        <v>1.2</v>
      </c>
      <c r="F258" s="335">
        <v>0.85</v>
      </c>
      <c r="G258" s="335">
        <v>1.35</v>
      </c>
      <c r="H258" s="90">
        <v>1</v>
      </c>
      <c r="I258" s="91">
        <v>6</v>
      </c>
      <c r="J258" s="92"/>
      <c r="K258" s="92"/>
      <c r="L258" s="107"/>
      <c r="M258" s="92"/>
      <c r="N258" s="93">
        <v>2</v>
      </c>
      <c r="O258" s="94">
        <v>2</v>
      </c>
      <c r="P258" s="92">
        <v>2</v>
      </c>
      <c r="Q258" s="175">
        <v>11</v>
      </c>
      <c r="R258" s="175">
        <f>158400/1000000</f>
        <v>0.1584</v>
      </c>
      <c r="S258" s="174"/>
      <c r="T258" s="352"/>
      <c r="U258" s="107"/>
      <c r="V258" s="107"/>
      <c r="W258" s="107"/>
      <c r="X258" s="99">
        <f t="shared" si="10"/>
        <v>0.1584</v>
      </c>
      <c r="Y258" s="100"/>
      <c r="Z258" s="101"/>
      <c r="AA258" s="298" t="s">
        <v>304</v>
      </c>
      <c r="AB258" s="129" t="e">
        <f>#N/A</f>
        <v>#N/A</v>
      </c>
      <c r="AC258" s="179" t="e">
        <f>#N/A</f>
        <v>#N/A</v>
      </c>
      <c r="AQ258" s="349"/>
      <c r="AR258" s="349"/>
    </row>
    <row r="259" spans="1:44" s="102" customFormat="1" ht="23.25" customHeight="1">
      <c r="A259" s="87" t="s">
        <v>85</v>
      </c>
      <c r="B259" s="216">
        <v>24</v>
      </c>
      <c r="C259" s="87" t="s">
        <v>327</v>
      </c>
      <c r="D259" s="335"/>
      <c r="E259" s="335"/>
      <c r="F259" s="335"/>
      <c r="G259" s="335"/>
      <c r="H259" s="90">
        <v>1</v>
      </c>
      <c r="I259" s="91">
        <v>4</v>
      </c>
      <c r="J259" s="92"/>
      <c r="K259" s="92"/>
      <c r="L259" s="107"/>
      <c r="M259" s="92"/>
      <c r="N259" s="93">
        <v>0.5</v>
      </c>
      <c r="O259" s="94">
        <v>2</v>
      </c>
      <c r="P259" s="92"/>
      <c r="Q259" s="175"/>
      <c r="R259" s="175"/>
      <c r="S259" s="174"/>
      <c r="T259" s="352"/>
      <c r="U259" s="107"/>
      <c r="V259" s="107"/>
      <c r="W259" s="107"/>
      <c r="X259" s="99">
        <f t="shared" si="10"/>
        <v>0</v>
      </c>
      <c r="Y259" s="100"/>
      <c r="Z259" s="101"/>
      <c r="AA259" s="298" t="s">
        <v>304</v>
      </c>
      <c r="AB259" s="129" t="e">
        <f>#N/A</f>
        <v>#N/A</v>
      </c>
      <c r="AC259" s="179" t="e">
        <f>#N/A</f>
        <v>#N/A</v>
      </c>
      <c r="AQ259" s="349"/>
      <c r="AR259" s="349"/>
    </row>
    <row r="260" spans="1:44" s="102" customFormat="1" ht="23.25" customHeight="1">
      <c r="A260" s="87" t="s">
        <v>85</v>
      </c>
      <c r="B260" s="216">
        <v>25</v>
      </c>
      <c r="C260" s="87" t="s">
        <v>328</v>
      </c>
      <c r="D260" s="335"/>
      <c r="E260" s="335"/>
      <c r="F260" s="335"/>
      <c r="G260" s="335"/>
      <c r="H260" s="90">
        <v>1</v>
      </c>
      <c r="I260" s="91">
        <v>4</v>
      </c>
      <c r="J260" s="92"/>
      <c r="K260" s="92"/>
      <c r="L260" s="107"/>
      <c r="M260" s="92"/>
      <c r="N260" s="93">
        <v>1</v>
      </c>
      <c r="O260" s="94">
        <v>2</v>
      </c>
      <c r="P260" s="92"/>
      <c r="Q260" s="175"/>
      <c r="R260" s="175"/>
      <c r="S260" s="174"/>
      <c r="T260" s="352"/>
      <c r="U260" s="107"/>
      <c r="V260" s="107"/>
      <c r="W260" s="107"/>
      <c r="X260" s="99">
        <f t="shared" si="10"/>
        <v>0</v>
      </c>
      <c r="Y260" s="100"/>
      <c r="Z260" s="101"/>
      <c r="AA260" s="298" t="s">
        <v>304</v>
      </c>
      <c r="AB260" s="129" t="e">
        <f>#N/A</f>
        <v>#N/A</v>
      </c>
      <c r="AC260" s="179" t="e">
        <f>#N/A</f>
        <v>#N/A</v>
      </c>
      <c r="AQ260" s="349"/>
      <c r="AR260" s="349"/>
    </row>
    <row r="261" spans="1:54" s="157" customFormat="1" ht="23.25" customHeight="1">
      <c r="A261" s="87" t="s">
        <v>85</v>
      </c>
      <c r="B261" s="382">
        <v>26</v>
      </c>
      <c r="C261" s="87" t="s">
        <v>329</v>
      </c>
      <c r="D261" s="335">
        <v>1.2</v>
      </c>
      <c r="E261" s="335">
        <v>1.5</v>
      </c>
      <c r="F261" s="335">
        <v>1.2</v>
      </c>
      <c r="G261" s="335">
        <v>1.35</v>
      </c>
      <c r="H261" s="90">
        <v>2</v>
      </c>
      <c r="I261" s="91">
        <v>1.5</v>
      </c>
      <c r="J261" s="175"/>
      <c r="K261" s="175"/>
      <c r="L261" s="163"/>
      <c r="M261" s="92"/>
      <c r="N261" s="93">
        <v>1</v>
      </c>
      <c r="O261" s="94">
        <v>2</v>
      </c>
      <c r="P261" s="92"/>
      <c r="Q261" s="175"/>
      <c r="R261" s="175"/>
      <c r="S261" s="96"/>
      <c r="T261" s="352"/>
      <c r="U261" s="107"/>
      <c r="V261" s="163"/>
      <c r="W261" s="163"/>
      <c r="X261" s="99">
        <f t="shared" si="10"/>
        <v>0</v>
      </c>
      <c r="Y261" s="100"/>
      <c r="Z261" s="165"/>
      <c r="AA261" s="383" t="s">
        <v>304</v>
      </c>
      <c r="AB261" s="129" t="e">
        <f>#N/A</f>
        <v>#N/A</v>
      </c>
      <c r="AC261" s="179" t="e">
        <f>#N/A</f>
        <v>#N/A</v>
      </c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349"/>
      <c r="AR261" s="349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</row>
    <row r="262" spans="1:44" s="102" customFormat="1" ht="24.75" customHeight="1">
      <c r="A262" s="87" t="s">
        <v>85</v>
      </c>
      <c r="B262" s="216">
        <v>27</v>
      </c>
      <c r="C262" s="87" t="s">
        <v>330</v>
      </c>
      <c r="D262" s="335">
        <v>1.35</v>
      </c>
      <c r="E262" s="335">
        <v>1.5</v>
      </c>
      <c r="F262" s="335">
        <v>1.2</v>
      </c>
      <c r="G262" s="335">
        <v>1.4</v>
      </c>
      <c r="H262" s="90">
        <v>1</v>
      </c>
      <c r="I262" s="91">
        <v>4</v>
      </c>
      <c r="J262" s="92"/>
      <c r="K262" s="92"/>
      <c r="L262" s="107"/>
      <c r="M262" s="92"/>
      <c r="N262" s="93">
        <v>1</v>
      </c>
      <c r="O262" s="94">
        <v>2</v>
      </c>
      <c r="P262" s="107">
        <v>1</v>
      </c>
      <c r="Q262" s="107">
        <v>2</v>
      </c>
      <c r="R262" s="107">
        <f>7200/1000000</f>
        <v>0.0072</v>
      </c>
      <c r="S262" s="174"/>
      <c r="T262" s="352"/>
      <c r="U262" s="107"/>
      <c r="V262" s="107"/>
      <c r="W262" s="107"/>
      <c r="X262" s="99">
        <f t="shared" si="10"/>
        <v>0.0072</v>
      </c>
      <c r="Y262" s="100"/>
      <c r="Z262" s="101"/>
      <c r="AA262" s="298" t="s">
        <v>304</v>
      </c>
      <c r="AB262" s="129" t="e">
        <f>#N/A</f>
        <v>#N/A</v>
      </c>
      <c r="AC262" s="179" t="e">
        <f>#N/A</f>
        <v>#N/A</v>
      </c>
      <c r="AQ262" s="349"/>
      <c r="AR262" s="349"/>
    </row>
    <row r="263" spans="1:44" s="157" customFormat="1" ht="23.25" customHeight="1">
      <c r="A263" s="87" t="s">
        <v>85</v>
      </c>
      <c r="B263" s="216">
        <v>28</v>
      </c>
      <c r="C263" s="87" t="s">
        <v>331</v>
      </c>
      <c r="D263" s="335">
        <v>1.2</v>
      </c>
      <c r="E263" s="335">
        <v>1.5</v>
      </c>
      <c r="F263" s="335">
        <v>1.3</v>
      </c>
      <c r="G263" s="335">
        <v>1.45</v>
      </c>
      <c r="H263" s="90">
        <v>1</v>
      </c>
      <c r="I263" s="91">
        <v>6</v>
      </c>
      <c r="J263" s="92"/>
      <c r="K263" s="92"/>
      <c r="L263" s="107"/>
      <c r="M263" s="92"/>
      <c r="N263" s="93">
        <v>2</v>
      </c>
      <c r="O263" s="94">
        <v>2</v>
      </c>
      <c r="P263" s="92"/>
      <c r="Q263" s="175"/>
      <c r="R263" s="175"/>
      <c r="S263" s="174"/>
      <c r="T263" s="97"/>
      <c r="U263" s="92"/>
      <c r="V263" s="92"/>
      <c r="W263" s="92"/>
      <c r="X263" s="99">
        <f t="shared" si="10"/>
        <v>0</v>
      </c>
      <c r="Y263" s="100"/>
      <c r="Z263" s="165"/>
      <c r="AA263" s="383" t="s">
        <v>304</v>
      </c>
      <c r="AB263" s="129" t="e">
        <f>#N/A</f>
        <v>#N/A</v>
      </c>
      <c r="AC263" s="179" t="e">
        <f>#N/A</f>
        <v>#N/A</v>
      </c>
      <c r="AQ263" s="153"/>
      <c r="AR263" s="385"/>
    </row>
    <row r="264" spans="1:44" s="102" customFormat="1" ht="23.25" customHeight="1">
      <c r="A264" s="87" t="s">
        <v>85</v>
      </c>
      <c r="B264" s="216">
        <v>29</v>
      </c>
      <c r="C264" s="87" t="s">
        <v>332</v>
      </c>
      <c r="D264" s="335">
        <v>1.2</v>
      </c>
      <c r="E264" s="335">
        <v>1.5</v>
      </c>
      <c r="F264" s="335">
        <v>1.3</v>
      </c>
      <c r="G264" s="335">
        <v>1.4</v>
      </c>
      <c r="H264" s="90">
        <v>1</v>
      </c>
      <c r="I264" s="91">
        <v>4</v>
      </c>
      <c r="J264" s="107"/>
      <c r="K264" s="107"/>
      <c r="L264" s="107"/>
      <c r="M264" s="107"/>
      <c r="N264" s="93"/>
      <c r="O264" s="94"/>
      <c r="P264" s="107"/>
      <c r="Q264" s="107"/>
      <c r="R264" s="107"/>
      <c r="S264" s="174">
        <v>3</v>
      </c>
      <c r="T264" s="97">
        <v>2</v>
      </c>
      <c r="U264" s="107"/>
      <c r="V264" s="107"/>
      <c r="W264" s="107"/>
      <c r="X264" s="99">
        <f t="shared" si="10"/>
        <v>0</v>
      </c>
      <c r="Y264" s="100"/>
      <c r="Z264" s="101"/>
      <c r="AA264" s="298" t="s">
        <v>304</v>
      </c>
      <c r="AB264" s="129" t="e">
        <f>#N/A</f>
        <v>#N/A</v>
      </c>
      <c r="AC264" s="179" t="e">
        <f>#N/A</f>
        <v>#N/A</v>
      </c>
      <c r="AQ264" s="349"/>
      <c r="AR264" s="349"/>
    </row>
    <row r="265" spans="1:54" s="102" customFormat="1" ht="23.25" customHeight="1">
      <c r="A265" s="87" t="s">
        <v>60</v>
      </c>
      <c r="B265" s="216">
        <v>1</v>
      </c>
      <c r="C265" s="87" t="s">
        <v>333</v>
      </c>
      <c r="D265" s="335"/>
      <c r="E265" s="335"/>
      <c r="F265" s="335"/>
      <c r="G265" s="335"/>
      <c r="H265" s="90">
        <v>1</v>
      </c>
      <c r="I265" s="91">
        <v>4</v>
      </c>
      <c r="J265" s="92"/>
      <c r="K265" s="107"/>
      <c r="L265" s="107"/>
      <c r="M265" s="92"/>
      <c r="N265" s="93"/>
      <c r="O265" s="94"/>
      <c r="P265" s="107"/>
      <c r="Q265" s="107"/>
      <c r="R265" s="107"/>
      <c r="S265" s="174">
        <v>3</v>
      </c>
      <c r="T265" s="352">
        <v>2</v>
      </c>
      <c r="U265" s="107"/>
      <c r="V265" s="107"/>
      <c r="W265" s="107"/>
      <c r="X265" s="99">
        <f t="shared" si="10"/>
        <v>0</v>
      </c>
      <c r="Y265" s="100"/>
      <c r="Z265" s="101"/>
      <c r="AA265" s="298" t="s">
        <v>304</v>
      </c>
      <c r="AC265" s="176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385"/>
      <c r="AR265" s="385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</row>
    <row r="266" spans="1:44" s="102" customFormat="1" ht="23.25" customHeight="1">
      <c r="A266" s="87" t="s">
        <v>60</v>
      </c>
      <c r="B266" s="216">
        <v>2</v>
      </c>
      <c r="C266" s="87" t="s">
        <v>334</v>
      </c>
      <c r="D266" s="335"/>
      <c r="E266" s="335"/>
      <c r="F266" s="335"/>
      <c r="G266" s="335"/>
      <c r="H266" s="90">
        <v>1</v>
      </c>
      <c r="I266" s="91">
        <v>4</v>
      </c>
      <c r="J266" s="107"/>
      <c r="K266" s="107"/>
      <c r="L266" s="107"/>
      <c r="M266" s="107"/>
      <c r="N266" s="93"/>
      <c r="O266" s="146"/>
      <c r="P266" s="107"/>
      <c r="Q266" s="107"/>
      <c r="R266" s="107"/>
      <c r="S266" s="139"/>
      <c r="T266" s="97"/>
      <c r="U266" s="92"/>
      <c r="V266" s="107"/>
      <c r="W266" s="92"/>
      <c r="X266" s="99">
        <f t="shared" si="10"/>
        <v>0</v>
      </c>
      <c r="Y266" s="100"/>
      <c r="Z266" s="101"/>
      <c r="AA266" s="298" t="s">
        <v>304</v>
      </c>
      <c r="AC266" s="176"/>
      <c r="AQ266" s="349"/>
      <c r="AR266" s="349"/>
    </row>
    <row r="267" spans="1:44" s="102" customFormat="1" ht="23.25" customHeight="1">
      <c r="A267" s="87" t="s">
        <v>60</v>
      </c>
      <c r="B267" s="216">
        <v>3</v>
      </c>
      <c r="C267" s="87" t="s">
        <v>335</v>
      </c>
      <c r="D267" s="335"/>
      <c r="E267" s="335"/>
      <c r="F267" s="335"/>
      <c r="G267" s="335"/>
      <c r="H267" s="90">
        <v>1</v>
      </c>
      <c r="I267" s="91">
        <v>3</v>
      </c>
      <c r="J267" s="107"/>
      <c r="K267" s="107"/>
      <c r="L267" s="107"/>
      <c r="M267" s="107"/>
      <c r="N267" s="93">
        <v>0.5</v>
      </c>
      <c r="O267" s="94">
        <v>2</v>
      </c>
      <c r="P267" s="107"/>
      <c r="Q267" s="107"/>
      <c r="R267" s="107"/>
      <c r="S267" s="139"/>
      <c r="T267" s="97"/>
      <c r="U267" s="92"/>
      <c r="V267" s="107"/>
      <c r="W267" s="92"/>
      <c r="X267" s="99">
        <f t="shared" si="10"/>
        <v>0</v>
      </c>
      <c r="Y267" s="100"/>
      <c r="Z267" s="101"/>
      <c r="AA267" s="298" t="s">
        <v>304</v>
      </c>
      <c r="AC267" s="176"/>
      <c r="AQ267" s="126"/>
      <c r="AR267" s="127"/>
    </row>
    <row r="268" spans="1:44" s="102" customFormat="1" ht="23.25" customHeight="1">
      <c r="A268" s="87" t="s">
        <v>60</v>
      </c>
      <c r="B268" s="216">
        <v>4</v>
      </c>
      <c r="C268" s="87" t="s">
        <v>336</v>
      </c>
      <c r="D268" s="335"/>
      <c r="E268" s="335"/>
      <c r="F268" s="335"/>
      <c r="G268" s="335"/>
      <c r="H268" s="90">
        <v>1</v>
      </c>
      <c r="I268" s="91">
        <v>4</v>
      </c>
      <c r="J268" s="107"/>
      <c r="K268" s="107"/>
      <c r="L268" s="107"/>
      <c r="M268" s="107"/>
      <c r="N268" s="93">
        <v>0.5</v>
      </c>
      <c r="O268" s="94">
        <v>2</v>
      </c>
      <c r="P268" s="92"/>
      <c r="Q268" s="107"/>
      <c r="R268" s="107"/>
      <c r="S268" s="139"/>
      <c r="T268" s="97"/>
      <c r="U268" s="92"/>
      <c r="V268" s="107"/>
      <c r="W268" s="92"/>
      <c r="X268" s="99">
        <f t="shared" si="10"/>
        <v>0</v>
      </c>
      <c r="Y268" s="100"/>
      <c r="Z268" s="101"/>
      <c r="AA268" s="298" t="s">
        <v>304</v>
      </c>
      <c r="AB268" s="102">
        <v>0.01</v>
      </c>
      <c r="AC268" s="176">
        <v>3.5</v>
      </c>
      <c r="AQ268" s="126"/>
      <c r="AR268" s="127"/>
    </row>
    <row r="269" spans="1:44" s="102" customFormat="1" ht="23.25" customHeight="1">
      <c r="A269" s="87" t="s">
        <v>60</v>
      </c>
      <c r="B269" s="216">
        <v>5</v>
      </c>
      <c r="C269" s="87" t="s">
        <v>337</v>
      </c>
      <c r="D269" s="335"/>
      <c r="E269" s="335"/>
      <c r="F269" s="335"/>
      <c r="G269" s="335"/>
      <c r="H269" s="90">
        <v>1</v>
      </c>
      <c r="I269" s="91">
        <v>4</v>
      </c>
      <c r="J269" s="107"/>
      <c r="K269" s="107"/>
      <c r="L269" s="107"/>
      <c r="M269" s="107"/>
      <c r="N269" s="93">
        <v>0.5</v>
      </c>
      <c r="O269" s="94">
        <v>2</v>
      </c>
      <c r="P269" s="92"/>
      <c r="Q269" s="107"/>
      <c r="R269" s="107"/>
      <c r="S269" s="139"/>
      <c r="T269" s="97"/>
      <c r="U269" s="92"/>
      <c r="V269" s="107"/>
      <c r="W269" s="92"/>
      <c r="X269" s="99">
        <f t="shared" si="10"/>
        <v>0</v>
      </c>
      <c r="Y269" s="100"/>
      <c r="Z269" s="101"/>
      <c r="AA269" s="298" t="s">
        <v>304</v>
      </c>
      <c r="AB269" s="102">
        <v>0.01</v>
      </c>
      <c r="AC269" s="176">
        <v>3.5</v>
      </c>
      <c r="AQ269" s="126"/>
      <c r="AR269" s="127"/>
    </row>
    <row r="270" spans="1:44" s="102" customFormat="1" ht="23.25" customHeight="1">
      <c r="A270" s="87" t="s">
        <v>60</v>
      </c>
      <c r="B270" s="216">
        <v>6</v>
      </c>
      <c r="C270" s="87" t="s">
        <v>338</v>
      </c>
      <c r="D270" s="335"/>
      <c r="E270" s="335"/>
      <c r="F270" s="335"/>
      <c r="G270" s="335"/>
      <c r="H270" s="90">
        <v>1</v>
      </c>
      <c r="I270" s="91">
        <v>6</v>
      </c>
      <c r="J270" s="107"/>
      <c r="K270" s="107"/>
      <c r="L270" s="107"/>
      <c r="M270" s="107"/>
      <c r="N270" s="93">
        <v>3</v>
      </c>
      <c r="O270" s="94">
        <v>2</v>
      </c>
      <c r="P270" s="92"/>
      <c r="Q270" s="107"/>
      <c r="R270" s="107"/>
      <c r="S270" s="139"/>
      <c r="T270" s="97"/>
      <c r="U270" s="92"/>
      <c r="V270" s="107"/>
      <c r="W270" s="92"/>
      <c r="X270" s="99">
        <f t="shared" si="10"/>
        <v>0</v>
      </c>
      <c r="Y270" s="100"/>
      <c r="Z270" s="101"/>
      <c r="AA270" s="298" t="s">
        <v>304</v>
      </c>
      <c r="AB270" s="102">
        <v>0.01</v>
      </c>
      <c r="AC270" s="176"/>
      <c r="AQ270" s="126"/>
      <c r="AR270" s="127"/>
    </row>
    <row r="271" spans="1:44" s="102" customFormat="1" ht="23.25" customHeight="1">
      <c r="A271" s="87" t="s">
        <v>60</v>
      </c>
      <c r="B271" s="216">
        <v>7</v>
      </c>
      <c r="C271" s="87" t="s">
        <v>339</v>
      </c>
      <c r="D271" s="335"/>
      <c r="E271" s="335"/>
      <c r="F271" s="335"/>
      <c r="G271" s="335"/>
      <c r="H271" s="90">
        <v>1</v>
      </c>
      <c r="I271" s="91">
        <v>4</v>
      </c>
      <c r="J271" s="107"/>
      <c r="K271" s="107"/>
      <c r="L271" s="107"/>
      <c r="M271" s="107"/>
      <c r="N271" s="93">
        <v>0.5</v>
      </c>
      <c r="O271" s="94">
        <v>2</v>
      </c>
      <c r="P271" s="107"/>
      <c r="Q271" s="107"/>
      <c r="R271" s="107"/>
      <c r="S271" s="139"/>
      <c r="T271" s="97"/>
      <c r="U271" s="92"/>
      <c r="V271" s="107"/>
      <c r="W271" s="92"/>
      <c r="X271" s="99">
        <f t="shared" si="10"/>
        <v>0</v>
      </c>
      <c r="Y271" s="100"/>
      <c r="Z271" s="101"/>
      <c r="AA271" s="298" t="s">
        <v>304</v>
      </c>
      <c r="AB271" s="102">
        <v>0.01</v>
      </c>
      <c r="AC271" s="176"/>
      <c r="AQ271" s="126"/>
      <c r="AR271" s="127"/>
    </row>
    <row r="272" spans="1:44" s="102" customFormat="1" ht="23.25" customHeight="1">
      <c r="A272" s="87" t="s">
        <v>60</v>
      </c>
      <c r="B272" s="216">
        <v>8</v>
      </c>
      <c r="C272" s="87" t="s">
        <v>340</v>
      </c>
      <c r="D272" s="335"/>
      <c r="E272" s="335"/>
      <c r="F272" s="335"/>
      <c r="G272" s="335"/>
      <c r="H272" s="90">
        <v>1</v>
      </c>
      <c r="I272" s="91">
        <v>4</v>
      </c>
      <c r="J272" s="107"/>
      <c r="K272" s="107"/>
      <c r="L272" s="107"/>
      <c r="M272" s="107"/>
      <c r="N272" s="93">
        <v>0.5</v>
      </c>
      <c r="O272" s="94">
        <v>2</v>
      </c>
      <c r="P272" s="107"/>
      <c r="Q272" s="107"/>
      <c r="R272" s="107"/>
      <c r="S272" s="139"/>
      <c r="T272" s="97"/>
      <c r="U272" s="92"/>
      <c r="V272" s="107"/>
      <c r="W272" s="92"/>
      <c r="X272" s="99">
        <f t="shared" si="10"/>
        <v>0</v>
      </c>
      <c r="Y272" s="100"/>
      <c r="Z272" s="101"/>
      <c r="AA272" s="298" t="s">
        <v>341</v>
      </c>
      <c r="AB272" s="102">
        <v>0.01</v>
      </c>
      <c r="AC272" s="176">
        <v>3.5</v>
      </c>
      <c r="AQ272" s="126"/>
      <c r="AR272" s="127"/>
    </row>
    <row r="273" spans="1:44" s="102" customFormat="1" ht="23.25" customHeight="1">
      <c r="A273" s="87" t="s">
        <v>60</v>
      </c>
      <c r="B273" s="216">
        <v>9</v>
      </c>
      <c r="C273" s="87" t="s">
        <v>342</v>
      </c>
      <c r="D273" s="335"/>
      <c r="E273" s="335"/>
      <c r="F273" s="335"/>
      <c r="G273" s="335"/>
      <c r="H273" s="90">
        <v>1</v>
      </c>
      <c r="I273" s="91">
        <v>4</v>
      </c>
      <c r="J273" s="107"/>
      <c r="K273" s="107"/>
      <c r="L273" s="107"/>
      <c r="M273" s="107"/>
      <c r="N273" s="93">
        <v>0.5</v>
      </c>
      <c r="O273" s="94">
        <v>2</v>
      </c>
      <c r="P273" s="92"/>
      <c r="Q273" s="107"/>
      <c r="R273" s="107"/>
      <c r="S273" s="139"/>
      <c r="T273" s="97"/>
      <c r="U273" s="92"/>
      <c r="V273" s="107"/>
      <c r="W273" s="92"/>
      <c r="X273" s="99">
        <f t="shared" si="10"/>
        <v>0</v>
      </c>
      <c r="Y273" s="100"/>
      <c r="Z273" s="101"/>
      <c r="AA273" s="298" t="s">
        <v>341</v>
      </c>
      <c r="AB273" s="102">
        <v>0.01</v>
      </c>
      <c r="AC273" s="176">
        <v>3.5</v>
      </c>
      <c r="AQ273" s="126"/>
      <c r="AR273" s="127"/>
    </row>
    <row r="274" spans="1:44" s="102" customFormat="1" ht="23.25" customHeight="1">
      <c r="A274" s="87" t="s">
        <v>60</v>
      </c>
      <c r="B274" s="216">
        <v>10</v>
      </c>
      <c r="C274" s="87" t="s">
        <v>343</v>
      </c>
      <c r="D274" s="335"/>
      <c r="E274" s="335"/>
      <c r="F274" s="335"/>
      <c r="G274" s="335"/>
      <c r="H274" s="90">
        <v>1</v>
      </c>
      <c r="I274" s="91">
        <v>4</v>
      </c>
      <c r="J274" s="107"/>
      <c r="K274" s="107"/>
      <c r="L274" s="107"/>
      <c r="M274" s="107"/>
      <c r="N274" s="93">
        <v>0.5</v>
      </c>
      <c r="O274" s="94">
        <v>2</v>
      </c>
      <c r="P274" s="92"/>
      <c r="Q274" s="107"/>
      <c r="R274" s="107"/>
      <c r="S274" s="139"/>
      <c r="T274" s="97"/>
      <c r="U274" s="92"/>
      <c r="V274" s="107"/>
      <c r="W274" s="92"/>
      <c r="X274" s="99">
        <f t="shared" si="10"/>
        <v>0</v>
      </c>
      <c r="Y274" s="100"/>
      <c r="Z274" s="101"/>
      <c r="AA274" s="298" t="s">
        <v>341</v>
      </c>
      <c r="AB274" s="102">
        <v>0.01</v>
      </c>
      <c r="AC274" s="176">
        <v>3.5</v>
      </c>
      <c r="AQ274" s="126"/>
      <c r="AR274" s="127"/>
    </row>
    <row r="275" spans="1:44" s="102" customFormat="1" ht="23.25" customHeight="1">
      <c r="A275" s="87" t="s">
        <v>60</v>
      </c>
      <c r="B275" s="216">
        <v>11</v>
      </c>
      <c r="C275" s="87" t="s">
        <v>344</v>
      </c>
      <c r="D275" s="335"/>
      <c r="E275" s="335"/>
      <c r="F275" s="335"/>
      <c r="G275" s="335"/>
      <c r="H275" s="90">
        <v>1</v>
      </c>
      <c r="I275" s="91" t="s">
        <v>345</v>
      </c>
      <c r="J275" s="107"/>
      <c r="K275" s="107"/>
      <c r="L275" s="107"/>
      <c r="M275" s="107"/>
      <c r="N275" s="93"/>
      <c r="O275" s="146"/>
      <c r="P275" s="92"/>
      <c r="Q275" s="107"/>
      <c r="R275" s="107"/>
      <c r="S275" s="139"/>
      <c r="T275" s="97"/>
      <c r="U275" s="92"/>
      <c r="V275" s="107"/>
      <c r="W275" s="92"/>
      <c r="X275" s="99">
        <f t="shared" si="10"/>
        <v>0</v>
      </c>
      <c r="Y275" s="100"/>
      <c r="Z275" s="101"/>
      <c r="AA275" s="298" t="s">
        <v>341</v>
      </c>
      <c r="AQ275" s="126"/>
      <c r="AR275" s="127"/>
    </row>
    <row r="276" spans="1:44" s="102" customFormat="1" ht="23.25" customHeight="1">
      <c r="A276" s="87" t="s">
        <v>60</v>
      </c>
      <c r="B276" s="216">
        <v>12</v>
      </c>
      <c r="C276" s="87" t="s">
        <v>346</v>
      </c>
      <c r="D276" s="335"/>
      <c r="E276" s="335"/>
      <c r="F276" s="335"/>
      <c r="G276" s="335"/>
      <c r="H276" s="90">
        <v>1</v>
      </c>
      <c r="I276" s="91">
        <v>3</v>
      </c>
      <c r="J276" s="107"/>
      <c r="K276" s="107"/>
      <c r="L276" s="107"/>
      <c r="M276" s="107"/>
      <c r="N276" s="93">
        <v>0.5</v>
      </c>
      <c r="O276" s="94">
        <v>1</v>
      </c>
      <c r="P276" s="92"/>
      <c r="Q276" s="175"/>
      <c r="R276" s="92"/>
      <c r="S276" s="139"/>
      <c r="T276" s="97"/>
      <c r="U276" s="92"/>
      <c r="V276" s="107"/>
      <c r="W276" s="92"/>
      <c r="X276" s="99">
        <f t="shared" si="10"/>
        <v>0</v>
      </c>
      <c r="Y276" s="100"/>
      <c r="Z276" s="101"/>
      <c r="AA276" s="298" t="s">
        <v>341</v>
      </c>
      <c r="AQ276" s="126"/>
      <c r="AR276" s="127"/>
    </row>
    <row r="277" spans="1:44" s="102" customFormat="1" ht="23.25" customHeight="1">
      <c r="A277" s="87" t="s">
        <v>60</v>
      </c>
      <c r="B277" s="216">
        <v>13</v>
      </c>
      <c r="C277" s="87" t="s">
        <v>347</v>
      </c>
      <c r="D277" s="335"/>
      <c r="E277" s="335"/>
      <c r="F277" s="335"/>
      <c r="G277" s="335"/>
      <c r="H277" s="90">
        <v>1</v>
      </c>
      <c r="I277" s="91">
        <v>2.5</v>
      </c>
      <c r="J277" s="107"/>
      <c r="K277" s="107"/>
      <c r="L277" s="107"/>
      <c r="M277" s="107"/>
      <c r="N277" s="93"/>
      <c r="O277" s="146"/>
      <c r="P277" s="92"/>
      <c r="Q277" s="107"/>
      <c r="R277" s="107"/>
      <c r="S277" s="139"/>
      <c r="T277" s="97"/>
      <c r="U277" s="92"/>
      <c r="V277" s="107"/>
      <c r="W277" s="92"/>
      <c r="X277" s="99">
        <f t="shared" si="10"/>
        <v>0</v>
      </c>
      <c r="Y277" s="100"/>
      <c r="Z277" s="101"/>
      <c r="AA277" s="298" t="s">
        <v>341</v>
      </c>
      <c r="AQ277" s="126"/>
      <c r="AR277" s="127"/>
    </row>
    <row r="278" spans="1:44" s="102" customFormat="1" ht="23.25" customHeight="1">
      <c r="A278" s="87" t="s">
        <v>60</v>
      </c>
      <c r="B278" s="216">
        <v>14</v>
      </c>
      <c r="C278" s="87" t="s">
        <v>348</v>
      </c>
      <c r="D278" s="335"/>
      <c r="E278" s="335"/>
      <c r="F278" s="335"/>
      <c r="G278" s="335"/>
      <c r="H278" s="90">
        <v>1</v>
      </c>
      <c r="I278" s="91">
        <v>2.5</v>
      </c>
      <c r="J278" s="107"/>
      <c r="K278" s="107"/>
      <c r="L278" s="107"/>
      <c r="M278" s="107"/>
      <c r="N278" s="93">
        <v>0.5</v>
      </c>
      <c r="O278" s="94">
        <v>1</v>
      </c>
      <c r="P278" s="92"/>
      <c r="Q278" s="175"/>
      <c r="R278" s="92"/>
      <c r="S278" s="139"/>
      <c r="T278" s="97"/>
      <c r="U278" s="92"/>
      <c r="V278" s="107"/>
      <c r="W278" s="92"/>
      <c r="X278" s="99">
        <f t="shared" si="10"/>
        <v>0</v>
      </c>
      <c r="Y278" s="100"/>
      <c r="Z278" s="101"/>
      <c r="AA278" s="298" t="s">
        <v>341</v>
      </c>
      <c r="AQ278" s="126"/>
      <c r="AR278" s="127"/>
    </row>
    <row r="279" spans="1:44" s="102" customFormat="1" ht="23.25" customHeight="1">
      <c r="A279" s="87" t="s">
        <v>60</v>
      </c>
      <c r="B279" s="216">
        <v>15</v>
      </c>
      <c r="C279" s="87" t="s">
        <v>349</v>
      </c>
      <c r="D279" s="335"/>
      <c r="E279" s="335"/>
      <c r="F279" s="335"/>
      <c r="G279" s="335"/>
      <c r="H279" s="90">
        <v>1</v>
      </c>
      <c r="I279" s="91">
        <v>2.5</v>
      </c>
      <c r="J279" s="107"/>
      <c r="K279" s="107"/>
      <c r="L279" s="107"/>
      <c r="M279" s="107"/>
      <c r="N279" s="93"/>
      <c r="O279" s="146"/>
      <c r="P279" s="92"/>
      <c r="Q279" s="107"/>
      <c r="R279" s="107"/>
      <c r="S279" s="139"/>
      <c r="T279" s="97"/>
      <c r="U279" s="92"/>
      <c r="V279" s="107"/>
      <c r="W279" s="92"/>
      <c r="X279" s="99">
        <f t="shared" si="10"/>
        <v>0</v>
      </c>
      <c r="Y279" s="100"/>
      <c r="Z279" s="101"/>
      <c r="AA279" s="298" t="s">
        <v>341</v>
      </c>
      <c r="AQ279" s="126"/>
      <c r="AR279" s="127"/>
    </row>
    <row r="280" spans="1:44" s="102" customFormat="1" ht="23.25" customHeight="1">
      <c r="A280" s="87" t="s">
        <v>60</v>
      </c>
      <c r="B280" s="216">
        <v>16</v>
      </c>
      <c r="C280" s="87" t="s">
        <v>350</v>
      </c>
      <c r="D280" s="335"/>
      <c r="E280" s="335"/>
      <c r="F280" s="335"/>
      <c r="G280" s="335"/>
      <c r="H280" s="90">
        <v>1</v>
      </c>
      <c r="I280" s="91">
        <v>3</v>
      </c>
      <c r="J280" s="107"/>
      <c r="K280" s="107"/>
      <c r="L280" s="107"/>
      <c r="M280" s="107"/>
      <c r="N280" s="93">
        <v>0.5</v>
      </c>
      <c r="O280" s="94">
        <v>1</v>
      </c>
      <c r="P280" s="92"/>
      <c r="Q280" s="175"/>
      <c r="R280" s="92"/>
      <c r="S280" s="139"/>
      <c r="T280" s="97"/>
      <c r="U280" s="92"/>
      <c r="V280" s="107"/>
      <c r="W280" s="92"/>
      <c r="X280" s="99">
        <f t="shared" si="10"/>
        <v>0</v>
      </c>
      <c r="Y280" s="100"/>
      <c r="Z280" s="101"/>
      <c r="AA280" s="298" t="s">
        <v>341</v>
      </c>
      <c r="AQ280" s="126"/>
      <c r="AR280" s="127"/>
    </row>
    <row r="281" spans="1:44" s="102" customFormat="1" ht="23.25" customHeight="1">
      <c r="A281" s="87" t="s">
        <v>60</v>
      </c>
      <c r="B281" s="216">
        <v>17</v>
      </c>
      <c r="C281" s="87" t="s">
        <v>351</v>
      </c>
      <c r="D281" s="335"/>
      <c r="E281" s="335"/>
      <c r="F281" s="335"/>
      <c r="G281" s="335"/>
      <c r="H281" s="90">
        <v>1</v>
      </c>
      <c r="I281" s="91">
        <v>3</v>
      </c>
      <c r="J281" s="107"/>
      <c r="K281" s="107"/>
      <c r="L281" s="107"/>
      <c r="M281" s="107"/>
      <c r="N281" s="93"/>
      <c r="O281" s="146"/>
      <c r="P281" s="92"/>
      <c r="Q281" s="107"/>
      <c r="R281" s="107"/>
      <c r="S281" s="139"/>
      <c r="T281" s="97"/>
      <c r="U281" s="92"/>
      <c r="V281" s="107"/>
      <c r="W281" s="92"/>
      <c r="X281" s="99">
        <f t="shared" si="10"/>
        <v>0</v>
      </c>
      <c r="Y281" s="100"/>
      <c r="Z281" s="101"/>
      <c r="AA281" s="298" t="s">
        <v>341</v>
      </c>
      <c r="AQ281" s="126"/>
      <c r="AR281" s="127"/>
    </row>
    <row r="282" spans="1:44" s="102" customFormat="1" ht="23.25" customHeight="1">
      <c r="A282" s="87" t="s">
        <v>60</v>
      </c>
      <c r="B282" s="216">
        <v>18</v>
      </c>
      <c r="C282" s="87" t="s">
        <v>352</v>
      </c>
      <c r="D282" s="335"/>
      <c r="E282" s="335"/>
      <c r="F282" s="335"/>
      <c r="G282" s="335"/>
      <c r="H282" s="90">
        <v>1</v>
      </c>
      <c r="I282" s="91">
        <v>3</v>
      </c>
      <c r="J282" s="107"/>
      <c r="K282" s="107"/>
      <c r="L282" s="107"/>
      <c r="M282" s="107"/>
      <c r="N282" s="93"/>
      <c r="O282" s="146"/>
      <c r="P282" s="92"/>
      <c r="Q282" s="107"/>
      <c r="R282" s="107"/>
      <c r="S282" s="139"/>
      <c r="T282" s="97"/>
      <c r="U282" s="92"/>
      <c r="V282" s="107"/>
      <c r="W282" s="92"/>
      <c r="X282" s="99">
        <f t="shared" si="10"/>
        <v>0</v>
      </c>
      <c r="Y282" s="100"/>
      <c r="Z282" s="101"/>
      <c r="AA282" s="298" t="s">
        <v>341</v>
      </c>
      <c r="AQ282" s="126"/>
      <c r="AR282" s="127"/>
    </row>
    <row r="283" spans="1:44" s="102" customFormat="1" ht="23.25" customHeight="1">
      <c r="A283" s="87" t="s">
        <v>60</v>
      </c>
      <c r="B283" s="216">
        <v>19</v>
      </c>
      <c r="C283" s="87" t="s">
        <v>353</v>
      </c>
      <c r="D283" s="335"/>
      <c r="E283" s="335"/>
      <c r="F283" s="335"/>
      <c r="G283" s="335"/>
      <c r="H283" s="90">
        <v>1</v>
      </c>
      <c r="I283" s="91">
        <v>3</v>
      </c>
      <c r="J283" s="107"/>
      <c r="K283" s="107"/>
      <c r="L283" s="107"/>
      <c r="M283" s="107"/>
      <c r="N283" s="93"/>
      <c r="O283" s="146"/>
      <c r="P283" s="92"/>
      <c r="Q283" s="107"/>
      <c r="R283" s="107"/>
      <c r="S283" s="139"/>
      <c r="T283" s="97"/>
      <c r="U283" s="92"/>
      <c r="V283" s="107"/>
      <c r="W283" s="92"/>
      <c r="X283" s="99">
        <f t="shared" si="10"/>
        <v>0</v>
      </c>
      <c r="Y283" s="100"/>
      <c r="Z283" s="101"/>
      <c r="AA283" s="298" t="s">
        <v>341</v>
      </c>
      <c r="AQ283" s="126"/>
      <c r="AR283" s="127"/>
    </row>
    <row r="284" spans="1:44" s="102" customFormat="1" ht="23.25" customHeight="1">
      <c r="A284" s="87" t="s">
        <v>60</v>
      </c>
      <c r="B284" s="216">
        <v>20</v>
      </c>
      <c r="C284" s="87" t="s">
        <v>354</v>
      </c>
      <c r="D284" s="335"/>
      <c r="E284" s="335"/>
      <c r="F284" s="335"/>
      <c r="G284" s="335"/>
      <c r="H284" s="90">
        <v>1</v>
      </c>
      <c r="I284" s="91">
        <v>3</v>
      </c>
      <c r="J284" s="107"/>
      <c r="K284" s="107"/>
      <c r="L284" s="107"/>
      <c r="M284" s="107"/>
      <c r="N284" s="93"/>
      <c r="O284" s="146"/>
      <c r="P284" s="92"/>
      <c r="Q284" s="107"/>
      <c r="R284" s="107"/>
      <c r="S284" s="139"/>
      <c r="T284" s="97"/>
      <c r="U284" s="92"/>
      <c r="V284" s="107"/>
      <c r="W284" s="92"/>
      <c r="X284" s="99">
        <f t="shared" si="10"/>
        <v>0</v>
      </c>
      <c r="Y284" s="100"/>
      <c r="Z284" s="101"/>
      <c r="AA284" s="298" t="s">
        <v>341</v>
      </c>
      <c r="AQ284" s="126"/>
      <c r="AR284" s="127"/>
    </row>
    <row r="285" spans="1:44" s="102" customFormat="1" ht="23.25" customHeight="1">
      <c r="A285" s="87" t="s">
        <v>60</v>
      </c>
      <c r="B285" s="216">
        <v>21</v>
      </c>
      <c r="C285" s="87" t="s">
        <v>355</v>
      </c>
      <c r="D285" s="89"/>
      <c r="E285" s="89"/>
      <c r="F285" s="89"/>
      <c r="G285" s="89"/>
      <c r="H285" s="90">
        <v>1</v>
      </c>
      <c r="I285" s="91">
        <v>4</v>
      </c>
      <c r="J285" s="107"/>
      <c r="K285" s="107"/>
      <c r="L285" s="107"/>
      <c r="M285" s="107"/>
      <c r="N285" s="93"/>
      <c r="O285" s="94"/>
      <c r="P285" s="92"/>
      <c r="Q285" s="107"/>
      <c r="R285" s="107"/>
      <c r="S285" s="174">
        <v>3</v>
      </c>
      <c r="T285" s="97">
        <v>1</v>
      </c>
      <c r="U285" s="107"/>
      <c r="V285" s="107"/>
      <c r="W285" s="107"/>
      <c r="X285" s="99">
        <f t="shared" si="10"/>
        <v>0</v>
      </c>
      <c r="Y285" s="100"/>
      <c r="Z285" s="101"/>
      <c r="AA285" s="298" t="s">
        <v>341</v>
      </c>
      <c r="AQ285" s="126"/>
      <c r="AR285" s="127"/>
    </row>
    <row r="286" spans="1:44" s="102" customFormat="1" ht="23.25" customHeight="1">
      <c r="A286" s="87" t="s">
        <v>60</v>
      </c>
      <c r="B286" s="216">
        <v>22</v>
      </c>
      <c r="C286" s="87" t="s">
        <v>356</v>
      </c>
      <c r="D286" s="89"/>
      <c r="E286" s="89"/>
      <c r="F286" s="89"/>
      <c r="G286" s="89"/>
      <c r="H286" s="90">
        <v>1</v>
      </c>
      <c r="I286" s="91">
        <v>4</v>
      </c>
      <c r="J286" s="107"/>
      <c r="K286" s="107"/>
      <c r="L286" s="107"/>
      <c r="M286" s="107"/>
      <c r="N286" s="93">
        <v>0.5</v>
      </c>
      <c r="O286" s="94">
        <v>2</v>
      </c>
      <c r="P286" s="92"/>
      <c r="Q286" s="107"/>
      <c r="R286" s="107"/>
      <c r="S286" s="139"/>
      <c r="T286" s="97"/>
      <c r="U286" s="92"/>
      <c r="V286" s="107"/>
      <c r="W286" s="92"/>
      <c r="X286" s="99">
        <f t="shared" si="10"/>
        <v>0</v>
      </c>
      <c r="Y286" s="100"/>
      <c r="Z286" s="101"/>
      <c r="AA286" s="298" t="s">
        <v>341</v>
      </c>
      <c r="AQ286" s="126"/>
      <c r="AR286" s="127"/>
    </row>
    <row r="287" spans="1:44" s="102" customFormat="1" ht="23.25" customHeight="1">
      <c r="A287" s="87" t="s">
        <v>60</v>
      </c>
      <c r="B287" s="216">
        <v>23</v>
      </c>
      <c r="C287" s="87" t="s">
        <v>357</v>
      </c>
      <c r="D287" s="89"/>
      <c r="E287" s="89"/>
      <c r="F287" s="89"/>
      <c r="G287" s="89"/>
      <c r="H287" s="90">
        <v>1</v>
      </c>
      <c r="I287" s="91">
        <v>4</v>
      </c>
      <c r="J287" s="107"/>
      <c r="K287" s="107"/>
      <c r="L287" s="107"/>
      <c r="M287" s="107"/>
      <c r="N287" s="93">
        <v>0.5</v>
      </c>
      <c r="O287" s="94">
        <v>1</v>
      </c>
      <c r="P287" s="92"/>
      <c r="Q287" s="107"/>
      <c r="R287" s="107"/>
      <c r="S287" s="139"/>
      <c r="T287" s="97"/>
      <c r="U287" s="92"/>
      <c r="V287" s="107"/>
      <c r="W287" s="92"/>
      <c r="X287" s="99">
        <f t="shared" si="10"/>
        <v>0</v>
      </c>
      <c r="Y287" s="100"/>
      <c r="Z287" s="101"/>
      <c r="AA287" s="298" t="s">
        <v>341</v>
      </c>
      <c r="AQ287" s="126"/>
      <c r="AR287" s="127"/>
    </row>
    <row r="288" spans="1:44" s="102" customFormat="1" ht="23.25" customHeight="1">
      <c r="A288" s="87" t="s">
        <v>60</v>
      </c>
      <c r="B288" s="216">
        <v>24</v>
      </c>
      <c r="C288" s="87" t="s">
        <v>358</v>
      </c>
      <c r="D288" s="151"/>
      <c r="E288" s="151"/>
      <c r="F288" s="151"/>
      <c r="G288" s="151"/>
      <c r="H288" s="90">
        <v>1</v>
      </c>
      <c r="I288" s="91">
        <v>4</v>
      </c>
      <c r="J288" s="107"/>
      <c r="K288" s="107"/>
      <c r="L288" s="107"/>
      <c r="M288" s="107"/>
      <c r="N288" s="93">
        <v>0.5</v>
      </c>
      <c r="O288" s="94">
        <v>2</v>
      </c>
      <c r="P288" s="92"/>
      <c r="Q288" s="107"/>
      <c r="R288" s="107"/>
      <c r="S288" s="139"/>
      <c r="T288" s="97"/>
      <c r="U288" s="92"/>
      <c r="V288" s="107"/>
      <c r="W288" s="92"/>
      <c r="X288" s="99">
        <f t="shared" si="10"/>
        <v>0</v>
      </c>
      <c r="Y288" s="100"/>
      <c r="Z288" s="101"/>
      <c r="AA288" s="298" t="s">
        <v>341</v>
      </c>
      <c r="AQ288" s="126"/>
      <c r="AR288" s="127"/>
    </row>
    <row r="289" spans="1:44" s="102" customFormat="1" ht="23.25" customHeight="1">
      <c r="A289" s="87" t="s">
        <v>60</v>
      </c>
      <c r="B289" s="216">
        <v>25</v>
      </c>
      <c r="C289" s="87" t="s">
        <v>359</v>
      </c>
      <c r="D289" s="89"/>
      <c r="E289" s="89"/>
      <c r="F289" s="89"/>
      <c r="G289" s="89"/>
      <c r="H289" s="90">
        <v>1</v>
      </c>
      <c r="I289" s="91">
        <v>4</v>
      </c>
      <c r="J289" s="92"/>
      <c r="K289" s="107"/>
      <c r="L289" s="107"/>
      <c r="M289" s="92"/>
      <c r="N289" s="93"/>
      <c r="O289" s="146"/>
      <c r="P289" s="107"/>
      <c r="Q289" s="107"/>
      <c r="R289" s="107"/>
      <c r="S289" s="139"/>
      <c r="T289" s="97"/>
      <c r="U289" s="92"/>
      <c r="V289" s="107"/>
      <c r="W289" s="92"/>
      <c r="X289" s="99">
        <f t="shared" si="10"/>
        <v>0</v>
      </c>
      <c r="Y289" s="100"/>
      <c r="Z289" s="101"/>
      <c r="AA289" s="298" t="s">
        <v>341</v>
      </c>
      <c r="AQ289" s="126"/>
      <c r="AR289" s="127"/>
    </row>
    <row r="290" spans="1:44" s="102" customFormat="1" ht="23.25" customHeight="1">
      <c r="A290" s="87" t="s">
        <v>60</v>
      </c>
      <c r="B290" s="216">
        <v>26</v>
      </c>
      <c r="C290" s="87" t="s">
        <v>360</v>
      </c>
      <c r="D290" s="89"/>
      <c r="E290" s="89"/>
      <c r="F290" s="89"/>
      <c r="G290" s="89"/>
      <c r="H290" s="90">
        <v>1</v>
      </c>
      <c r="I290" s="91">
        <v>4</v>
      </c>
      <c r="J290" s="92"/>
      <c r="K290" s="107"/>
      <c r="L290" s="107"/>
      <c r="M290" s="92"/>
      <c r="N290" s="93">
        <v>1</v>
      </c>
      <c r="O290" s="94">
        <v>2</v>
      </c>
      <c r="P290" s="107"/>
      <c r="Q290" s="107"/>
      <c r="R290" s="107"/>
      <c r="S290" s="139"/>
      <c r="T290" s="97"/>
      <c r="U290" s="92"/>
      <c r="V290" s="107"/>
      <c r="W290" s="92"/>
      <c r="X290" s="99">
        <f t="shared" si="10"/>
        <v>0</v>
      </c>
      <c r="Y290" s="100"/>
      <c r="Z290" s="386"/>
      <c r="AA290" s="298" t="s">
        <v>341</v>
      </c>
      <c r="AQ290" s="126"/>
      <c r="AR290" s="127"/>
    </row>
    <row r="291" spans="1:44" s="102" customFormat="1" ht="23.25" customHeight="1">
      <c r="A291" s="87" t="s">
        <v>60</v>
      </c>
      <c r="B291" s="216">
        <v>27</v>
      </c>
      <c r="C291" s="87" t="s">
        <v>361</v>
      </c>
      <c r="D291" s="151"/>
      <c r="E291" s="151"/>
      <c r="F291" s="387"/>
      <c r="G291" s="387"/>
      <c r="H291" s="90">
        <v>1</v>
      </c>
      <c r="I291" s="91">
        <v>8</v>
      </c>
      <c r="J291" s="92"/>
      <c r="K291" s="92"/>
      <c r="L291" s="107"/>
      <c r="M291" s="92"/>
      <c r="N291" s="93">
        <v>3</v>
      </c>
      <c r="O291" s="94">
        <v>3</v>
      </c>
      <c r="P291" s="107"/>
      <c r="Q291" s="107"/>
      <c r="R291" s="107"/>
      <c r="S291" s="174">
        <v>3</v>
      </c>
      <c r="T291" s="97">
        <v>2</v>
      </c>
      <c r="U291" s="107"/>
      <c r="V291" s="107"/>
      <c r="W291" s="107"/>
      <c r="X291" s="99">
        <f aca="true" t="shared" si="11" ref="X291:X299">M291+R291+W291</f>
        <v>0</v>
      </c>
      <c r="Y291" s="100"/>
      <c r="Z291" s="386"/>
      <c r="AA291" s="298" t="s">
        <v>341</v>
      </c>
      <c r="AB291" s="102">
        <v>0.01</v>
      </c>
      <c r="AQ291" s="126"/>
      <c r="AR291" s="127"/>
    </row>
    <row r="292" spans="1:44" s="102" customFormat="1" ht="23.25" customHeight="1">
      <c r="A292" s="87" t="s">
        <v>60</v>
      </c>
      <c r="B292" s="505">
        <v>28</v>
      </c>
      <c r="C292" s="87" t="s">
        <v>405</v>
      </c>
      <c r="D292" s="151"/>
      <c r="E292" s="151"/>
      <c r="F292" s="387"/>
      <c r="G292" s="387"/>
      <c r="H292" s="90"/>
      <c r="I292" s="91"/>
      <c r="J292" s="92"/>
      <c r="K292" s="92"/>
      <c r="L292" s="107"/>
      <c r="M292" s="92"/>
      <c r="N292" s="93"/>
      <c r="O292" s="94"/>
      <c r="P292" s="107"/>
      <c r="Q292" s="107"/>
      <c r="R292" s="107"/>
      <c r="S292" s="174"/>
      <c r="T292" s="97"/>
      <c r="U292" s="107"/>
      <c r="V292" s="107"/>
      <c r="W292" s="107"/>
      <c r="X292" s="99">
        <f>M292+R292+W292</f>
        <v>0</v>
      </c>
      <c r="Y292" s="100"/>
      <c r="Z292" s="386"/>
      <c r="AA292" s="298"/>
      <c r="AQ292" s="126"/>
      <c r="AR292" s="127"/>
    </row>
    <row r="293" spans="1:44" s="102" customFormat="1" ht="38.25" customHeight="1">
      <c r="A293" s="511" t="s">
        <v>104</v>
      </c>
      <c r="B293" s="512"/>
      <c r="C293" s="183"/>
      <c r="D293" s="184"/>
      <c r="E293" s="184"/>
      <c r="F293" s="184"/>
      <c r="G293" s="184"/>
      <c r="H293" s="185"/>
      <c r="I293" s="186"/>
      <c r="J293" s="186"/>
      <c r="K293" s="186"/>
      <c r="L293" s="187"/>
      <c r="M293" s="188">
        <v>0</v>
      </c>
      <c r="N293" s="186"/>
      <c r="O293" s="189"/>
      <c r="P293" s="189">
        <f>SUM(P294:P299)</f>
        <v>0</v>
      </c>
      <c r="Q293" s="388"/>
      <c r="R293" s="188">
        <f>SUM(R294:R299)</f>
        <v>0</v>
      </c>
      <c r="S293" s="379"/>
      <c r="T293" s="189">
        <v>0</v>
      </c>
      <c r="U293" s="189">
        <f>SUM(U294:U299)</f>
        <v>0</v>
      </c>
      <c r="V293" s="388"/>
      <c r="W293" s="188">
        <f>SUM(W294:W299)</f>
        <v>0</v>
      </c>
      <c r="X293" s="389">
        <f>M293+R293+W293</f>
        <v>0</v>
      </c>
      <c r="Y293" s="213"/>
      <c r="Z293" s="194"/>
      <c r="AA293" s="176">
        <f>+M293+R293+W293</f>
        <v>0</v>
      </c>
      <c r="AQ293" s="126"/>
      <c r="AR293" s="127"/>
    </row>
    <row r="294" spans="1:44" s="102" customFormat="1" ht="23.25" customHeight="1">
      <c r="A294" s="87" t="s">
        <v>280</v>
      </c>
      <c r="B294" s="216">
        <v>1</v>
      </c>
      <c r="C294" s="87" t="s">
        <v>362</v>
      </c>
      <c r="D294" s="89"/>
      <c r="E294" s="89"/>
      <c r="F294" s="89"/>
      <c r="G294" s="89"/>
      <c r="H294" s="90">
        <v>2</v>
      </c>
      <c r="I294" s="91">
        <v>4</v>
      </c>
      <c r="J294" s="324"/>
      <c r="K294" s="107"/>
      <c r="L294" s="107"/>
      <c r="M294" s="107"/>
      <c r="N294" s="93"/>
      <c r="O294" s="146"/>
      <c r="P294" s="140"/>
      <c r="Q294" s="109"/>
      <c r="R294" s="92"/>
      <c r="S294" s="139"/>
      <c r="T294" s="390"/>
      <c r="U294" s="109"/>
      <c r="V294" s="109"/>
      <c r="W294" s="92"/>
      <c r="X294" s="99">
        <f t="shared" si="11"/>
        <v>0</v>
      </c>
      <c r="Y294" s="110"/>
      <c r="Z294" s="101"/>
      <c r="AA294" s="102" t="s">
        <v>104</v>
      </c>
      <c r="AQ294" s="126"/>
      <c r="AR294" s="127"/>
    </row>
    <row r="295" spans="1:44" s="102" customFormat="1" ht="23.25" customHeight="1">
      <c r="A295" s="87" t="s">
        <v>280</v>
      </c>
      <c r="B295" s="216">
        <v>2</v>
      </c>
      <c r="C295" s="87" t="s">
        <v>363</v>
      </c>
      <c r="D295" s="89"/>
      <c r="E295" s="89"/>
      <c r="F295" s="89"/>
      <c r="G295" s="89"/>
      <c r="H295" s="90">
        <v>2</v>
      </c>
      <c r="I295" s="91">
        <v>4</v>
      </c>
      <c r="J295" s="324"/>
      <c r="K295" s="107"/>
      <c r="L295" s="107"/>
      <c r="M295" s="107"/>
      <c r="N295" s="338"/>
      <c r="O295" s="146"/>
      <c r="P295" s="109"/>
      <c r="Q295" s="98"/>
      <c r="R295" s="98"/>
      <c r="S295" s="391"/>
      <c r="T295" s="392"/>
      <c r="U295" s="140"/>
      <c r="V295" s="128"/>
      <c r="W295" s="92"/>
      <c r="X295" s="99">
        <f t="shared" si="11"/>
        <v>0</v>
      </c>
      <c r="Y295" s="110"/>
      <c r="Z295" s="101"/>
      <c r="AA295" s="102" t="s">
        <v>104</v>
      </c>
      <c r="AQ295" s="177"/>
      <c r="AR295" s="393"/>
    </row>
    <row r="296" spans="1:44" s="102" customFormat="1" ht="23.25" customHeight="1">
      <c r="A296" s="87" t="s">
        <v>280</v>
      </c>
      <c r="B296" s="216">
        <v>3</v>
      </c>
      <c r="C296" s="87" t="s">
        <v>364</v>
      </c>
      <c r="D296" s="89"/>
      <c r="E296" s="89"/>
      <c r="F296" s="89"/>
      <c r="G296" s="89"/>
      <c r="H296" s="90">
        <v>1</v>
      </c>
      <c r="I296" s="91">
        <v>4</v>
      </c>
      <c r="J296" s="324"/>
      <c r="K296" s="107"/>
      <c r="L296" s="107"/>
      <c r="M296" s="107"/>
      <c r="N296" s="93"/>
      <c r="O296" s="146"/>
      <c r="P296" s="140"/>
      <c r="Q296" s="109"/>
      <c r="R296" s="98"/>
      <c r="S296" s="391"/>
      <c r="T296" s="392"/>
      <c r="U296" s="109"/>
      <c r="V296" s="109"/>
      <c r="W296" s="92"/>
      <c r="X296" s="99">
        <f t="shared" si="11"/>
        <v>0</v>
      </c>
      <c r="Y296" s="110"/>
      <c r="Z296" s="101"/>
      <c r="AA296" s="102" t="s">
        <v>104</v>
      </c>
      <c r="AQ296" s="126"/>
      <c r="AR296" s="127"/>
    </row>
    <row r="297" spans="1:44" s="102" customFormat="1" ht="23.25" customHeight="1">
      <c r="A297" s="87" t="s">
        <v>280</v>
      </c>
      <c r="B297" s="216">
        <v>4</v>
      </c>
      <c r="C297" s="87" t="s">
        <v>365</v>
      </c>
      <c r="D297" s="89"/>
      <c r="E297" s="89"/>
      <c r="F297" s="89"/>
      <c r="G297" s="89"/>
      <c r="H297" s="90">
        <v>2</v>
      </c>
      <c r="I297" s="91">
        <v>6</v>
      </c>
      <c r="J297" s="324"/>
      <c r="K297" s="107"/>
      <c r="L297" s="107"/>
      <c r="M297" s="107"/>
      <c r="N297" s="93"/>
      <c r="O297" s="146"/>
      <c r="P297" s="140"/>
      <c r="Q297" s="109"/>
      <c r="R297" s="98"/>
      <c r="S297" s="391"/>
      <c r="T297" s="392"/>
      <c r="U297" s="140"/>
      <c r="V297" s="128"/>
      <c r="W297" s="92"/>
      <c r="X297" s="99">
        <f t="shared" si="11"/>
        <v>0</v>
      </c>
      <c r="Y297" s="110"/>
      <c r="Z297" s="101"/>
      <c r="AA297" s="102" t="s">
        <v>104</v>
      </c>
      <c r="AQ297" s="105">
        <v>0.15</v>
      </c>
      <c r="AR297" s="127">
        <v>2</v>
      </c>
    </row>
    <row r="298" spans="1:44" s="102" customFormat="1" ht="23.25" customHeight="1">
      <c r="A298" s="87" t="s">
        <v>280</v>
      </c>
      <c r="B298" s="216">
        <v>5</v>
      </c>
      <c r="C298" s="87" t="s">
        <v>366</v>
      </c>
      <c r="D298" s="89"/>
      <c r="E298" s="89"/>
      <c r="F298" s="89"/>
      <c r="G298" s="89"/>
      <c r="H298" s="90">
        <v>2</v>
      </c>
      <c r="I298" s="91">
        <v>4</v>
      </c>
      <c r="J298" s="324"/>
      <c r="K298" s="107"/>
      <c r="L298" s="107"/>
      <c r="M298" s="107"/>
      <c r="N298" s="338"/>
      <c r="O298" s="362"/>
      <c r="P298" s="394"/>
      <c r="Q298" s="394"/>
      <c r="R298" s="394"/>
      <c r="S298" s="391"/>
      <c r="T298" s="392"/>
      <c r="U298" s="140"/>
      <c r="V298" s="128"/>
      <c r="W298" s="92"/>
      <c r="X298" s="99">
        <f t="shared" si="11"/>
        <v>0</v>
      </c>
      <c r="Y298" s="110"/>
      <c r="Z298" s="101"/>
      <c r="AA298" s="102" t="s">
        <v>104</v>
      </c>
      <c r="AQ298" s="105"/>
      <c r="AR298" s="109"/>
    </row>
    <row r="299" spans="1:44" s="102" customFormat="1" ht="23.25" customHeight="1">
      <c r="A299" s="87" t="s">
        <v>280</v>
      </c>
      <c r="B299" s="216">
        <v>6</v>
      </c>
      <c r="C299" s="87" t="s">
        <v>367</v>
      </c>
      <c r="D299" s="89"/>
      <c r="E299" s="89"/>
      <c r="F299" s="89"/>
      <c r="G299" s="89"/>
      <c r="H299" s="90">
        <v>2</v>
      </c>
      <c r="I299" s="91">
        <v>6</v>
      </c>
      <c r="J299" s="324"/>
      <c r="K299" s="107"/>
      <c r="L299" s="107"/>
      <c r="M299" s="107"/>
      <c r="N299" s="338"/>
      <c r="O299" s="362"/>
      <c r="P299" s="394"/>
      <c r="Q299" s="394"/>
      <c r="R299" s="394"/>
      <c r="S299" s="391"/>
      <c r="T299" s="392"/>
      <c r="U299" s="140"/>
      <c r="V299" s="128"/>
      <c r="W299" s="92"/>
      <c r="X299" s="99">
        <f t="shared" si="11"/>
        <v>0</v>
      </c>
      <c r="Y299" s="110"/>
      <c r="Z299" s="101"/>
      <c r="AA299" s="102" t="s">
        <v>104</v>
      </c>
      <c r="AQ299" s="105">
        <v>0.15</v>
      </c>
      <c r="AR299" s="127">
        <v>5</v>
      </c>
    </row>
    <row r="300" spans="1:44" ht="23.25" customHeight="1">
      <c r="A300" s="395" t="s">
        <v>7</v>
      </c>
      <c r="B300" s="396"/>
      <c r="C300" s="397"/>
      <c r="D300" s="398"/>
      <c r="E300" s="398"/>
      <c r="F300" s="398"/>
      <c r="G300" s="398"/>
      <c r="H300" s="399"/>
      <c r="I300" s="400"/>
      <c r="J300" s="401"/>
      <c r="K300" s="402"/>
      <c r="L300" s="403"/>
      <c r="M300" s="402"/>
      <c r="N300" s="402"/>
      <c r="O300" s="404"/>
      <c r="P300" s="399"/>
      <c r="Q300" s="404"/>
      <c r="R300" s="405"/>
      <c r="S300" s="406"/>
      <c r="T300" s="399"/>
      <c r="U300" s="399"/>
      <c r="V300" s="404"/>
      <c r="W300" s="405"/>
      <c r="X300" s="407"/>
      <c r="Y300" s="400"/>
      <c r="Z300" s="408"/>
      <c r="AQ300" s="409">
        <v>0.15</v>
      </c>
      <c r="AR300" s="410">
        <v>2</v>
      </c>
    </row>
    <row r="301" spans="1:44" ht="23.25" customHeight="1">
      <c r="A301" s="411" t="s">
        <v>368</v>
      </c>
      <c r="B301" s="396"/>
      <c r="C301" s="397"/>
      <c r="D301" s="398"/>
      <c r="E301" s="398"/>
      <c r="F301" s="398"/>
      <c r="G301" s="398"/>
      <c r="H301" s="399"/>
      <c r="I301" s="400"/>
      <c r="J301" s="401"/>
      <c r="K301" s="402"/>
      <c r="L301" s="403"/>
      <c r="M301" s="402"/>
      <c r="N301" s="402"/>
      <c r="O301" s="404"/>
      <c r="P301" s="399"/>
      <c r="Q301" s="404"/>
      <c r="R301" s="405"/>
      <c r="S301" s="406"/>
      <c r="T301" s="399"/>
      <c r="U301" s="399"/>
      <c r="V301" s="404"/>
      <c r="W301" s="405"/>
      <c r="X301" s="407"/>
      <c r="Y301" s="400"/>
      <c r="Z301" s="408"/>
      <c r="AQ301" s="409">
        <v>0.3</v>
      </c>
      <c r="AR301" s="410">
        <v>2</v>
      </c>
    </row>
    <row r="302" spans="1:44" ht="31.5">
      <c r="A302" s="411" t="s">
        <v>369</v>
      </c>
      <c r="B302" s="411"/>
      <c r="C302" s="411"/>
      <c r="D302" s="41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  <c r="T302" s="411"/>
      <c r="U302" s="412"/>
      <c r="V302" s="412"/>
      <c r="W302" s="412"/>
      <c r="X302" s="413"/>
      <c r="Y302" s="412"/>
      <c r="AQ302" s="414"/>
      <c r="AR302" s="415"/>
    </row>
    <row r="303" spans="1:44" ht="31.5">
      <c r="A303" s="416"/>
      <c r="B303" s="416"/>
      <c r="C303" s="416"/>
      <c r="D303" s="416"/>
      <c r="E303" s="416"/>
      <c r="F303" s="416"/>
      <c r="G303" s="416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  <c r="T303" s="416"/>
      <c r="AQ303" s="414"/>
      <c r="AR303" s="415"/>
    </row>
    <row r="304" spans="1:44" ht="37.5" customHeight="1" hidden="1">
      <c r="A304" s="419" t="s">
        <v>370</v>
      </c>
      <c r="B304" s="419"/>
      <c r="F304" s="420">
        <v>0.15</v>
      </c>
      <c r="G304" s="420" t="s">
        <v>371</v>
      </c>
      <c r="Q304" s="423"/>
      <c r="AQ304" s="416"/>
      <c r="AR304" s="416"/>
    </row>
    <row r="305" spans="1:44" ht="34.5" customHeight="1" hidden="1">
      <c r="A305" s="419" t="s">
        <v>372</v>
      </c>
      <c r="B305" s="419"/>
      <c r="F305" s="420">
        <v>0.1</v>
      </c>
      <c r="G305" s="420" t="s">
        <v>371</v>
      </c>
      <c r="AQ305" s="416"/>
      <c r="AR305" s="416"/>
    </row>
    <row r="306" spans="1:54" ht="34.5" customHeight="1" hidden="1">
      <c r="A306" s="419" t="s">
        <v>373</v>
      </c>
      <c r="B306" s="419"/>
      <c r="F306" s="420">
        <v>0.2</v>
      </c>
      <c r="G306" s="420" t="s">
        <v>371</v>
      </c>
      <c r="AN306" s="424"/>
      <c r="AO306" s="424"/>
      <c r="AP306" s="424"/>
      <c r="AS306" s="424"/>
      <c r="AT306" s="424"/>
      <c r="AU306" s="424"/>
      <c r="AV306" s="424"/>
      <c r="AW306" s="424"/>
      <c r="AX306" s="424"/>
      <c r="AY306" s="424"/>
      <c r="AZ306" s="424"/>
      <c r="BA306" s="424"/>
      <c r="BB306" s="424"/>
    </row>
    <row r="307" spans="1:50" ht="34.5" customHeight="1" hidden="1">
      <c r="A307" s="419" t="s">
        <v>374</v>
      </c>
      <c r="B307" s="419"/>
      <c r="F307" s="420">
        <v>0.3</v>
      </c>
      <c r="G307" s="420" t="s">
        <v>371</v>
      </c>
      <c r="AN307" s="425"/>
      <c r="AO307" s="425"/>
      <c r="AP307" s="426"/>
      <c r="AS307" s="426"/>
      <c r="AT307" s="426"/>
      <c r="AU307" s="426"/>
      <c r="AV307" s="426"/>
      <c r="AW307" s="426"/>
      <c r="AX307" s="426"/>
    </row>
    <row r="308" spans="1:50" ht="31.5" customHeight="1" hidden="1">
      <c r="A308" s="419" t="s">
        <v>375</v>
      </c>
      <c r="B308" s="419"/>
      <c r="F308" s="420">
        <v>1</v>
      </c>
      <c r="G308" s="420" t="s">
        <v>371</v>
      </c>
      <c r="AN308" s="425"/>
      <c r="AO308" s="425"/>
      <c r="AP308" s="426"/>
      <c r="AS308" s="426"/>
      <c r="AT308" s="426"/>
      <c r="AU308" s="426"/>
      <c r="AV308" s="426"/>
      <c r="AW308" s="426"/>
      <c r="AX308" s="426"/>
    </row>
    <row r="309" spans="40:50" ht="34.5">
      <c r="AN309" s="425"/>
      <c r="AO309" s="425"/>
      <c r="AP309" s="426"/>
      <c r="AS309" s="426"/>
      <c r="AT309" s="426"/>
      <c r="AU309" s="426"/>
      <c r="AV309" s="426"/>
      <c r="AW309" s="426"/>
      <c r="AX309" s="426"/>
    </row>
    <row r="313" ht="31.5">
      <c r="M313" s="427"/>
    </row>
    <row r="315" spans="28:41" ht="39" customHeight="1">
      <c r="AB315" s="596" t="str">
        <f>+A1</f>
        <v>ผลการปฏิบัติการสูบน้ำ และระบายน้ำ ในเขต สชป.11 รายงาน ณ วันที่ 20 ก.ค. 60 (ข้อมูล ตั้งแต่ วันที่ 19 ก.ค. 60 วลา 06.00 น. ถึงวันที่ 20 ก.ค. 60  เวลา 06.00 น.)</v>
      </c>
      <c r="AC315" s="596"/>
      <c r="AD315" s="596"/>
      <c r="AE315" s="596"/>
      <c r="AF315" s="596"/>
      <c r="AG315" s="596"/>
      <c r="AH315" s="596"/>
      <c r="AI315" s="596"/>
      <c r="AJ315" s="596"/>
      <c r="AK315" s="596"/>
      <c r="AL315" s="596"/>
      <c r="AM315" s="596"/>
      <c r="AN315" s="428"/>
      <c r="AO315" s="428"/>
    </row>
    <row r="316" spans="28:39" ht="34.5">
      <c r="AB316" s="429"/>
      <c r="AC316" s="429"/>
      <c r="AD316" s="429"/>
      <c r="AE316" s="429"/>
      <c r="AF316" s="429"/>
      <c r="AG316" s="429"/>
      <c r="AH316" s="429"/>
      <c r="AI316" s="429"/>
      <c r="AJ316" s="429"/>
      <c r="AK316" s="429"/>
      <c r="AL316" s="429"/>
      <c r="AM316" s="430" t="s">
        <v>394</v>
      </c>
    </row>
    <row r="317" spans="28:39" ht="34.5">
      <c r="AB317" s="589" t="s">
        <v>376</v>
      </c>
      <c r="AC317" s="590"/>
      <c r="AD317" s="593" t="s">
        <v>377</v>
      </c>
      <c r="AE317" s="594"/>
      <c r="AF317" s="593" t="s">
        <v>378</v>
      </c>
      <c r="AG317" s="594"/>
      <c r="AH317" s="593" t="s">
        <v>391</v>
      </c>
      <c r="AI317" s="594"/>
      <c r="AJ317" s="593" t="s">
        <v>379</v>
      </c>
      <c r="AK317" s="594"/>
      <c r="AL317" s="431" t="s">
        <v>388</v>
      </c>
      <c r="AM317" s="597" t="s">
        <v>7</v>
      </c>
    </row>
    <row r="318" spans="28:39" ht="34.5">
      <c r="AB318" s="591"/>
      <c r="AC318" s="592"/>
      <c r="AD318" s="432">
        <v>42936</v>
      </c>
      <c r="AE318" s="432">
        <v>42935</v>
      </c>
      <c r="AF318" s="432">
        <v>42936</v>
      </c>
      <c r="AG318" s="432">
        <v>42935</v>
      </c>
      <c r="AH318" s="432">
        <v>42936</v>
      </c>
      <c r="AI318" s="432">
        <v>42935</v>
      </c>
      <c r="AJ318" s="432">
        <v>42936</v>
      </c>
      <c r="AK318" s="432">
        <v>42935</v>
      </c>
      <c r="AL318" s="433" t="s">
        <v>389</v>
      </c>
      <c r="AM318" s="598"/>
    </row>
    <row r="319" spans="28:39" ht="34.5">
      <c r="AB319" s="599" t="s">
        <v>380</v>
      </c>
      <c r="AC319" s="434" t="s">
        <v>57</v>
      </c>
      <c r="AD319" s="435">
        <f>+$M$9</f>
        <v>1.048896</v>
      </c>
      <c r="AE319" s="435">
        <v>1.048896</v>
      </c>
      <c r="AF319" s="435">
        <f>R9</f>
        <v>3.4703999999999997</v>
      </c>
      <c r="AG319" s="435">
        <v>2.9591999999999996</v>
      </c>
      <c r="AH319" s="436">
        <f>W9</f>
        <v>0</v>
      </c>
      <c r="AI319" s="436">
        <v>0.2592</v>
      </c>
      <c r="AJ319" s="435">
        <f>+AD319+AF319+AH319</f>
        <v>4.519296</v>
      </c>
      <c r="AK319" s="435">
        <v>4.267296</v>
      </c>
      <c r="AL319" s="437">
        <f>+P9+U9</f>
        <v>17</v>
      </c>
      <c r="AM319" s="438"/>
    </row>
    <row r="320" spans="28:39" ht="34.5">
      <c r="AB320" s="600"/>
      <c r="AC320" s="434" t="s">
        <v>381</v>
      </c>
      <c r="AD320" s="435">
        <f>+$M$51</f>
        <v>0</v>
      </c>
      <c r="AE320" s="435">
        <v>0</v>
      </c>
      <c r="AF320" s="435">
        <f>R51</f>
        <v>2.0412</v>
      </c>
      <c r="AG320" s="435">
        <v>1.7928</v>
      </c>
      <c r="AH320" s="436">
        <f>W51</f>
        <v>0</v>
      </c>
      <c r="AI320" s="436">
        <v>0</v>
      </c>
      <c r="AJ320" s="435">
        <f>+AD320+AF320+AH320</f>
        <v>2.0412</v>
      </c>
      <c r="AK320" s="435">
        <v>1.7928</v>
      </c>
      <c r="AL320" s="437">
        <f>+P51+U51</f>
        <v>9</v>
      </c>
      <c r="AM320" s="438"/>
    </row>
    <row r="321" spans="28:39" ht="34.5">
      <c r="AB321" s="600"/>
      <c r="AC321" s="434" t="s">
        <v>382</v>
      </c>
      <c r="AD321" s="435">
        <f>+$M$62</f>
        <v>0.64386</v>
      </c>
      <c r="AE321" s="435">
        <v>0.90378</v>
      </c>
      <c r="AF321" s="435">
        <f>R62</f>
        <v>1.0368</v>
      </c>
      <c r="AG321" s="435">
        <v>1.0368</v>
      </c>
      <c r="AH321" s="436">
        <f>W62</f>
        <v>0</v>
      </c>
      <c r="AI321" s="436">
        <v>0</v>
      </c>
      <c r="AJ321" s="435">
        <f>+AD321+AF321+AH321</f>
        <v>1.68066</v>
      </c>
      <c r="AK321" s="435">
        <v>1.94058</v>
      </c>
      <c r="AL321" s="437">
        <f>+P62+U62</f>
        <v>2</v>
      </c>
      <c r="AM321" s="438"/>
    </row>
    <row r="322" spans="17:39" ht="34.5">
      <c r="Q322" s="439"/>
      <c r="AB322" s="600"/>
      <c r="AC322" s="434" t="s">
        <v>104</v>
      </c>
      <c r="AD322" s="435">
        <f>+$M$80</f>
        <v>1.7352</v>
      </c>
      <c r="AE322" s="435">
        <v>1.1268</v>
      </c>
      <c r="AF322" s="435">
        <f>R80</f>
        <v>12.956399999999999</v>
      </c>
      <c r="AG322" s="435">
        <v>12.398399999999999</v>
      </c>
      <c r="AH322" s="436">
        <f>W80</f>
        <v>0</v>
      </c>
      <c r="AI322" s="436">
        <v>0</v>
      </c>
      <c r="AJ322" s="435">
        <f>+AD322+AF322+AH322</f>
        <v>14.6916</v>
      </c>
      <c r="AK322" s="435">
        <v>13.525199999999998</v>
      </c>
      <c r="AL322" s="437">
        <f>+P80+U80</f>
        <v>44</v>
      </c>
      <c r="AM322" s="438"/>
    </row>
    <row r="323" spans="16:39" ht="35.25" thickBot="1">
      <c r="P323" s="439"/>
      <c r="Y323" s="417" t="s">
        <v>229</v>
      </c>
      <c r="AB323" s="601"/>
      <c r="AC323" s="440" t="s">
        <v>383</v>
      </c>
      <c r="AD323" s="441">
        <f>SUM(AD319:AD322)</f>
        <v>3.427956</v>
      </c>
      <c r="AE323" s="441">
        <v>3.079476</v>
      </c>
      <c r="AF323" s="441">
        <f>SUM(AF319:AF322)</f>
        <v>19.504799999999996</v>
      </c>
      <c r="AG323" s="441">
        <v>18.187199999999997</v>
      </c>
      <c r="AH323" s="441">
        <f>SUM(AH319:AH322)</f>
        <v>0</v>
      </c>
      <c r="AI323" s="441">
        <v>0.2592</v>
      </c>
      <c r="AJ323" s="441">
        <f>SUM(AJ319:AJ322)</f>
        <v>22.932755999999998</v>
      </c>
      <c r="AK323" s="441">
        <v>21.525875999999997</v>
      </c>
      <c r="AL323" s="442">
        <f>SUM(AL319:AL322)</f>
        <v>72</v>
      </c>
      <c r="AM323" s="443"/>
    </row>
    <row r="324" spans="15:39" ht="34.5">
      <c r="O324" s="444"/>
      <c r="P324" s="417" t="s">
        <v>400</v>
      </c>
      <c r="Q324" s="439"/>
      <c r="AB324" s="602" t="s">
        <v>384</v>
      </c>
      <c r="AC324" s="445" t="s">
        <v>57</v>
      </c>
      <c r="AD324" s="446">
        <f>+M214</f>
        <v>1.2836599355094453</v>
      </c>
      <c r="AE324" s="446">
        <v>1.250937539691528</v>
      </c>
      <c r="AF324" s="446">
        <f>R214</f>
        <v>0.324</v>
      </c>
      <c r="AG324" s="446">
        <v>0.0468</v>
      </c>
      <c r="AH324" s="447">
        <f>W214</f>
        <v>0.57024</v>
      </c>
      <c r="AI324" s="447">
        <v>0.5616</v>
      </c>
      <c r="AJ324" s="446">
        <f>+AD324+AF324+AH324</f>
        <v>2.1778999355094455</v>
      </c>
      <c r="AK324" s="446">
        <v>1.859337539691528</v>
      </c>
      <c r="AL324" s="448">
        <f>P216+U216</f>
        <v>0</v>
      </c>
      <c r="AM324" s="449"/>
    </row>
    <row r="325" spans="28:39" ht="34.5">
      <c r="AB325" s="600"/>
      <c r="AC325" s="434" t="s">
        <v>43</v>
      </c>
      <c r="AD325" s="435">
        <f>+M119</f>
        <v>0.5700000000000001</v>
      </c>
      <c r="AE325" s="435">
        <v>0.16</v>
      </c>
      <c r="AF325" s="435">
        <f>R119</f>
        <v>2.9019999999999992</v>
      </c>
      <c r="AG325" s="435">
        <v>3.098</v>
      </c>
      <c r="AH325" s="436">
        <f>W119</f>
        <v>0.13</v>
      </c>
      <c r="AI325" s="436">
        <v>0.7792</v>
      </c>
      <c r="AJ325" s="435">
        <f>+AD325+AF325+AH325</f>
        <v>3.6019999999999994</v>
      </c>
      <c r="AK325" s="435">
        <v>4.0372</v>
      </c>
      <c r="AL325" s="437">
        <f>+P119+U119</f>
        <v>14</v>
      </c>
      <c r="AM325" s="438"/>
    </row>
    <row r="326" spans="11:39" ht="34.5">
      <c r="K326" s="450"/>
      <c r="L326" s="450"/>
      <c r="M326" s="451"/>
      <c r="N326" s="450"/>
      <c r="O326" s="450"/>
      <c r="AB326" s="600"/>
      <c r="AC326" s="434" t="s">
        <v>104</v>
      </c>
      <c r="AD326" s="435">
        <f>M293</f>
        <v>0</v>
      </c>
      <c r="AE326" s="435">
        <v>0</v>
      </c>
      <c r="AF326" s="435">
        <f>R293</f>
        <v>0</v>
      </c>
      <c r="AG326" s="435">
        <v>0</v>
      </c>
      <c r="AH326" s="436">
        <f>W293</f>
        <v>0</v>
      </c>
      <c r="AI326" s="436">
        <v>0</v>
      </c>
      <c r="AJ326" s="435">
        <f>+AD326+AF326+AH326</f>
        <v>0</v>
      </c>
      <c r="AK326" s="435">
        <v>0</v>
      </c>
      <c r="AL326" s="437" t="s">
        <v>141</v>
      </c>
      <c r="AM326" s="438"/>
    </row>
    <row r="327" spans="11:39" ht="34.5">
      <c r="K327" s="452"/>
      <c r="L327" s="452"/>
      <c r="M327" s="451"/>
      <c r="N327" s="452"/>
      <c r="O327" s="452"/>
      <c r="AB327" s="603"/>
      <c r="AC327" s="453" t="s">
        <v>385</v>
      </c>
      <c r="AD327" s="454">
        <f aca="true" t="shared" si="12" ref="AD327:AL327">SUM(AD324:AD326)</f>
        <v>1.8536599355094454</v>
      </c>
      <c r="AE327" s="454">
        <v>1.410937539691528</v>
      </c>
      <c r="AF327" s="454">
        <f t="shared" si="12"/>
        <v>3.225999999999999</v>
      </c>
      <c r="AG327" s="454">
        <v>3.1448</v>
      </c>
      <c r="AH327" s="454">
        <f t="shared" si="12"/>
        <v>0.70024</v>
      </c>
      <c r="AI327" s="454">
        <v>1.3408</v>
      </c>
      <c r="AJ327" s="454">
        <f t="shared" si="12"/>
        <v>5.7798999355094445</v>
      </c>
      <c r="AK327" s="454">
        <v>5.896537539691528</v>
      </c>
      <c r="AL327" s="455">
        <f t="shared" si="12"/>
        <v>14</v>
      </c>
      <c r="AM327" s="438"/>
    </row>
    <row r="328" spans="11:39" ht="34.5">
      <c r="K328" s="450"/>
      <c r="L328" s="450"/>
      <c r="M328" s="451"/>
      <c r="N328" s="450"/>
      <c r="O328" s="450"/>
      <c r="U328" s="417" t="s">
        <v>229</v>
      </c>
      <c r="AB328" s="593" t="s">
        <v>386</v>
      </c>
      <c r="AC328" s="594"/>
      <c r="AD328" s="456">
        <f>+AD323+AD327</f>
        <v>5.281615935509445</v>
      </c>
      <c r="AE328" s="456">
        <v>4.490413539691528</v>
      </c>
      <c r="AF328" s="456">
        <f>+AF323+AF327</f>
        <v>22.730799999999995</v>
      </c>
      <c r="AG328" s="456">
        <v>21.331999999999997</v>
      </c>
      <c r="AH328" s="456">
        <f>+AH323+AH327</f>
        <v>0.70024</v>
      </c>
      <c r="AI328" s="456">
        <v>1.6</v>
      </c>
      <c r="AJ328" s="456">
        <f>+AJ323+AJ327</f>
        <v>28.712655935509442</v>
      </c>
      <c r="AK328" s="456">
        <v>27.422413539691526</v>
      </c>
      <c r="AL328" s="457">
        <f>+AL323+AL327</f>
        <v>86</v>
      </c>
      <c r="AM328" s="438"/>
    </row>
    <row r="329" spans="11:39" ht="34.5">
      <c r="K329" s="450"/>
      <c r="L329" s="450"/>
      <c r="M329" s="451"/>
      <c r="N329" s="450"/>
      <c r="O329" s="450"/>
      <c r="X329" s="458"/>
      <c r="AB329" s="459" t="s">
        <v>390</v>
      </c>
      <c r="AC329" s="595"/>
      <c r="AD329" s="595"/>
      <c r="AE329" s="595"/>
      <c r="AF329" s="595"/>
      <c r="AG329" s="460"/>
      <c r="AH329" s="460"/>
      <c r="AI329" s="460"/>
      <c r="AJ329" s="460"/>
      <c r="AK329" s="460"/>
      <c r="AL329" s="460"/>
      <c r="AM329" s="460"/>
    </row>
    <row r="330" spans="11:39" ht="37.5" customHeight="1">
      <c r="K330" s="450"/>
      <c r="L330" s="450"/>
      <c r="M330" s="451"/>
      <c r="N330" s="450"/>
      <c r="O330" s="450"/>
      <c r="W330" s="461"/>
      <c r="X330" s="429"/>
      <c r="Z330" s="417"/>
      <c r="AA330" s="417"/>
      <c r="AB330" s="462" t="s">
        <v>392</v>
      </c>
      <c r="AC330" s="462"/>
      <c r="AD330" s="462"/>
      <c r="AE330" s="462"/>
      <c r="AF330" s="462"/>
      <c r="AG330" s="462"/>
      <c r="AH330" s="463"/>
      <c r="AI330" s="464"/>
      <c r="AJ330" s="487"/>
      <c r="AK330" s="487"/>
      <c r="AL330" s="487"/>
      <c r="AM330" s="464"/>
    </row>
    <row r="331" spans="11:39" ht="31.5" customHeight="1" hidden="1">
      <c r="K331" s="450">
        <v>3</v>
      </c>
      <c r="L331" s="450" t="s">
        <v>133</v>
      </c>
      <c r="M331" s="451"/>
      <c r="N331" s="450">
        <v>3</v>
      </c>
      <c r="O331" s="450" t="s">
        <v>133</v>
      </c>
      <c r="W331" s="465"/>
      <c r="X331" s="465"/>
      <c r="Y331" s="429"/>
      <c r="Z331" s="429"/>
      <c r="AA331" s="429"/>
      <c r="AB331" s="429"/>
      <c r="AC331" s="429"/>
      <c r="AD331" s="429"/>
      <c r="AE331" s="429"/>
      <c r="AF331" s="429"/>
      <c r="AG331" s="429"/>
      <c r="AH331" s="429"/>
      <c r="AI331" s="429"/>
      <c r="AJ331" s="466"/>
      <c r="AK331" s="467"/>
      <c r="AL331" s="467"/>
      <c r="AM331" s="419"/>
    </row>
    <row r="332" spans="11:39" ht="31.5" customHeight="1" hidden="1">
      <c r="K332" s="452">
        <v>0</v>
      </c>
      <c r="L332" s="452">
        <v>0</v>
      </c>
      <c r="M332" s="451"/>
      <c r="N332" s="452">
        <v>0</v>
      </c>
      <c r="O332" s="452">
        <v>0</v>
      </c>
      <c r="W332" s="524"/>
      <c r="X332" s="519"/>
      <c r="Y332" s="516"/>
      <c r="Z332" s="517"/>
      <c r="AA332" s="520"/>
      <c r="AB332" s="521"/>
      <c r="AC332" s="520"/>
      <c r="AD332" s="521"/>
      <c r="AE332" s="520"/>
      <c r="AF332" s="521"/>
      <c r="AG332" s="520"/>
      <c r="AH332" s="521"/>
      <c r="AI332" s="468"/>
      <c r="AJ332" s="522"/>
      <c r="AK332" s="467"/>
      <c r="AL332" s="467"/>
      <c r="AM332" s="419"/>
    </row>
    <row r="333" spans="11:39" ht="31.5" customHeight="1" hidden="1">
      <c r="K333" s="450">
        <v>6</v>
      </c>
      <c r="L333" s="450" t="s">
        <v>133</v>
      </c>
      <c r="M333" s="451"/>
      <c r="N333" s="450">
        <v>6</v>
      </c>
      <c r="O333" s="450" t="s">
        <v>133</v>
      </c>
      <c r="W333" s="524"/>
      <c r="X333" s="519"/>
      <c r="Y333" s="518"/>
      <c r="Z333" s="519"/>
      <c r="AA333" s="469"/>
      <c r="AB333" s="469"/>
      <c r="AC333" s="469"/>
      <c r="AD333" s="469"/>
      <c r="AE333" s="469"/>
      <c r="AF333" s="469"/>
      <c r="AG333" s="469"/>
      <c r="AH333" s="469"/>
      <c r="AI333" s="470"/>
      <c r="AJ333" s="523"/>
      <c r="AK333" s="467"/>
      <c r="AL333" s="467"/>
      <c r="AM333" s="419"/>
    </row>
    <row r="334" spans="11:39" ht="31.5" customHeight="1" hidden="1">
      <c r="K334" s="450">
        <v>5.799999999999999</v>
      </c>
      <c r="L334" s="450" t="s">
        <v>133</v>
      </c>
      <c r="M334" s="451"/>
      <c r="N334" s="450">
        <v>5.799999999999999</v>
      </c>
      <c r="O334" s="450" t="s">
        <v>133</v>
      </c>
      <c r="W334" s="461"/>
      <c r="X334" s="461"/>
      <c r="Z334" s="471"/>
      <c r="AA334" s="472"/>
      <c r="AB334" s="472"/>
      <c r="AC334" s="472"/>
      <c r="AD334" s="472"/>
      <c r="AE334" s="472"/>
      <c r="AF334" s="472"/>
      <c r="AG334" s="472"/>
      <c r="AH334" s="472"/>
      <c r="AI334" s="473"/>
      <c r="AJ334" s="474"/>
      <c r="AK334" s="467"/>
      <c r="AL334" s="467"/>
      <c r="AM334" s="419"/>
    </row>
    <row r="335" spans="11:39" ht="31.5" customHeight="1" hidden="1">
      <c r="K335" s="450">
        <v>7</v>
      </c>
      <c r="L335" s="450" t="s">
        <v>133</v>
      </c>
      <c r="M335" s="451"/>
      <c r="N335" s="450">
        <v>7</v>
      </c>
      <c r="O335" s="450" t="s">
        <v>133</v>
      </c>
      <c r="W335" s="461"/>
      <c r="X335" s="461"/>
      <c r="Y335" s="458"/>
      <c r="Z335" s="471"/>
      <c r="AA335" s="472"/>
      <c r="AB335" s="472"/>
      <c r="AC335" s="472"/>
      <c r="AD335" s="472"/>
      <c r="AE335" s="472"/>
      <c r="AF335" s="472"/>
      <c r="AG335" s="472"/>
      <c r="AH335" s="472"/>
      <c r="AI335" s="473"/>
      <c r="AJ335" s="474"/>
      <c r="AK335" s="467"/>
      <c r="AL335" s="467"/>
      <c r="AM335" s="419"/>
    </row>
    <row r="336" spans="9:39" ht="37.5">
      <c r="I336" s="451"/>
      <c r="K336" s="408"/>
      <c r="L336" s="475"/>
      <c r="M336" s="451"/>
      <c r="N336" s="451"/>
      <c r="O336" s="408"/>
      <c r="W336" s="461"/>
      <c r="X336" s="461"/>
      <c r="Y336" s="429"/>
      <c r="Z336" s="471"/>
      <c r="AA336" s="472"/>
      <c r="AB336" s="472"/>
      <c r="AC336" s="472"/>
      <c r="AD336" s="476"/>
      <c r="AE336" s="472"/>
      <c r="AF336" s="472"/>
      <c r="AG336" s="472"/>
      <c r="AH336" s="472"/>
      <c r="AI336" s="477"/>
      <c r="AJ336" s="478"/>
      <c r="AK336" s="467"/>
      <c r="AL336" s="467"/>
      <c r="AM336" s="419"/>
    </row>
    <row r="337" spans="23:39" ht="31.5">
      <c r="W337" s="461"/>
      <c r="X337" s="461"/>
      <c r="Z337" s="471"/>
      <c r="AA337" s="472"/>
      <c r="AB337" s="472"/>
      <c r="AC337" s="472"/>
      <c r="AD337" s="472"/>
      <c r="AE337" s="472"/>
      <c r="AF337" s="472"/>
      <c r="AG337" s="472"/>
      <c r="AH337" s="472"/>
      <c r="AI337" s="473"/>
      <c r="AJ337" s="474"/>
      <c r="AK337" s="467"/>
      <c r="AL337" s="467"/>
      <c r="AM337" s="419"/>
    </row>
    <row r="338" spans="23:39" ht="31.5">
      <c r="W338" s="461"/>
      <c r="X338" s="461"/>
      <c r="Z338" s="479"/>
      <c r="AA338" s="480"/>
      <c r="AB338" s="480"/>
      <c r="AC338" s="480"/>
      <c r="AD338" s="480"/>
      <c r="AE338" s="480"/>
      <c r="AF338" s="480"/>
      <c r="AG338" s="480"/>
      <c r="AH338" s="480"/>
      <c r="AI338" s="481"/>
      <c r="AJ338" s="474"/>
      <c r="AK338" s="467"/>
      <c r="AL338" s="467"/>
      <c r="AM338" s="419"/>
    </row>
    <row r="339" spans="23:39" ht="31.5">
      <c r="W339" s="461"/>
      <c r="X339" s="461"/>
      <c r="Z339" s="471"/>
      <c r="AA339" s="472"/>
      <c r="AB339" s="472"/>
      <c r="AC339" s="472"/>
      <c r="AD339" s="472"/>
      <c r="AE339" s="472"/>
      <c r="AF339" s="472"/>
      <c r="AG339" s="472"/>
      <c r="AH339" s="472"/>
      <c r="AI339" s="473"/>
      <c r="AJ339" s="474"/>
      <c r="AK339" s="467"/>
      <c r="AL339" s="467"/>
      <c r="AM339" s="419"/>
    </row>
    <row r="340" spans="23:39" ht="31.5">
      <c r="W340" s="461"/>
      <c r="X340" s="461"/>
      <c r="Z340" s="471"/>
      <c r="AA340" s="472"/>
      <c r="AB340" s="472"/>
      <c r="AC340" s="472"/>
      <c r="AD340" s="472"/>
      <c r="AE340" s="472"/>
      <c r="AF340" s="472"/>
      <c r="AG340" s="472"/>
      <c r="AH340" s="472"/>
      <c r="AI340" s="473"/>
      <c r="AJ340" s="474"/>
      <c r="AK340" s="467"/>
      <c r="AL340" s="467"/>
      <c r="AM340" s="419"/>
    </row>
    <row r="341" spans="23:39" ht="31.5">
      <c r="W341" s="461"/>
      <c r="X341" s="461"/>
      <c r="Z341" s="471"/>
      <c r="AA341" s="472"/>
      <c r="AB341" s="472"/>
      <c r="AC341" s="472"/>
      <c r="AD341" s="472"/>
      <c r="AE341" s="472"/>
      <c r="AF341" s="472"/>
      <c r="AG341" s="472"/>
      <c r="AH341" s="472"/>
      <c r="AI341" s="473"/>
      <c r="AJ341" s="474"/>
      <c r="AK341" s="482"/>
      <c r="AM341" s="482"/>
    </row>
    <row r="342" spans="23:39" ht="31.5">
      <c r="W342" s="461"/>
      <c r="X342" s="461"/>
      <c r="Z342" s="479"/>
      <c r="AA342" s="480"/>
      <c r="AB342" s="480"/>
      <c r="AC342" s="480"/>
      <c r="AD342" s="480"/>
      <c r="AE342" s="480"/>
      <c r="AF342" s="480"/>
      <c r="AG342" s="480"/>
      <c r="AH342" s="480"/>
      <c r="AI342" s="481"/>
      <c r="AJ342" s="474"/>
      <c r="AK342" s="482"/>
      <c r="AL342" s="482"/>
      <c r="AM342" s="419"/>
    </row>
    <row r="343" spans="23:39" ht="31.5">
      <c r="W343" s="461"/>
      <c r="X343" s="461"/>
      <c r="Y343" s="534"/>
      <c r="Z343" s="534"/>
      <c r="AA343" s="483"/>
      <c r="AB343" s="483"/>
      <c r="AC343" s="483"/>
      <c r="AD343" s="483"/>
      <c r="AE343" s="483"/>
      <c r="AF343" s="483"/>
      <c r="AG343" s="483"/>
      <c r="AH343" s="483"/>
      <c r="AI343" s="484"/>
      <c r="AJ343" s="474"/>
      <c r="AK343" s="482"/>
      <c r="AL343" s="482"/>
      <c r="AM343" s="419"/>
    </row>
    <row r="344" spans="28:39" ht="31.5">
      <c r="AB344" s="467"/>
      <c r="AC344" s="482"/>
      <c r="AD344" s="482"/>
      <c r="AE344" s="482"/>
      <c r="AF344" s="482"/>
      <c r="AG344" s="482"/>
      <c r="AH344" s="485"/>
      <c r="AI344" s="482"/>
      <c r="AJ344" s="485"/>
      <c r="AK344" s="482"/>
      <c r="AL344" s="482"/>
      <c r="AM344" s="419"/>
    </row>
    <row r="345" spans="28:39" ht="31.5">
      <c r="AB345" s="467"/>
      <c r="AC345" s="482"/>
      <c r="AD345" s="482"/>
      <c r="AE345" s="482"/>
      <c r="AF345" s="482"/>
      <c r="AG345" s="482"/>
      <c r="AH345" s="485"/>
      <c r="AI345" s="482"/>
      <c r="AJ345" s="485"/>
      <c r="AK345" s="482"/>
      <c r="AL345" s="482"/>
      <c r="AM345" s="419"/>
    </row>
    <row r="346" spans="28:39" ht="31.5">
      <c r="AB346" s="486"/>
      <c r="AC346" s="467"/>
      <c r="AD346" s="467"/>
      <c r="AE346" s="467"/>
      <c r="AF346" s="467"/>
      <c r="AG346" s="467"/>
      <c r="AH346" s="419"/>
      <c r="AI346" s="467"/>
      <c r="AJ346" s="419"/>
      <c r="AK346" s="467"/>
      <c r="AL346" s="467"/>
      <c r="AM346" s="419"/>
    </row>
    <row r="347" spans="28:39" ht="31.5">
      <c r="AB347" s="467"/>
      <c r="AC347" s="467"/>
      <c r="AD347" s="467"/>
      <c r="AE347" s="467"/>
      <c r="AF347" s="467"/>
      <c r="AG347" s="467"/>
      <c r="AH347" s="419"/>
      <c r="AI347" s="467"/>
      <c r="AJ347" s="419"/>
      <c r="AK347" s="467"/>
      <c r="AL347" s="467"/>
      <c r="AM347" s="419"/>
    </row>
    <row r="348" spans="28:39" ht="31.5">
      <c r="AB348" s="467"/>
      <c r="AC348" s="467"/>
      <c r="AD348" s="467"/>
      <c r="AE348" s="467"/>
      <c r="AF348" s="467"/>
      <c r="AG348" s="467"/>
      <c r="AH348" s="419"/>
      <c r="AI348" s="467"/>
      <c r="AJ348" s="419"/>
      <c r="AK348" s="467"/>
      <c r="AL348" s="467"/>
      <c r="AM348" s="419"/>
    </row>
    <row r="349" spans="28:39" ht="31.5">
      <c r="AB349" s="467"/>
      <c r="AC349" s="467"/>
      <c r="AD349" s="467"/>
      <c r="AE349" s="467"/>
      <c r="AF349" s="467"/>
      <c r="AG349" s="467"/>
      <c r="AH349" s="419"/>
      <c r="AI349" s="467"/>
      <c r="AJ349" s="419"/>
      <c r="AK349" s="467"/>
      <c r="AL349" s="467"/>
      <c r="AM349" s="419"/>
    </row>
    <row r="350" spans="28:39" ht="31.5">
      <c r="AB350" s="467"/>
      <c r="AC350" s="467"/>
      <c r="AD350" s="467"/>
      <c r="AE350" s="467"/>
      <c r="AF350" s="467"/>
      <c r="AG350" s="467"/>
      <c r="AH350" s="419"/>
      <c r="AI350" s="467"/>
      <c r="AJ350" s="419"/>
      <c r="AK350" s="467"/>
      <c r="AL350" s="467"/>
      <c r="AM350" s="419"/>
    </row>
    <row r="351" spans="28:39" ht="31.5">
      <c r="AB351" s="467"/>
      <c r="AC351" s="467"/>
      <c r="AD351" s="467"/>
      <c r="AE351" s="467"/>
      <c r="AF351" s="467"/>
      <c r="AG351" s="467"/>
      <c r="AH351" s="419"/>
      <c r="AI351" s="467"/>
      <c r="AJ351" s="419"/>
      <c r="AK351" s="467"/>
      <c r="AL351" s="467"/>
      <c r="AM351" s="419"/>
    </row>
    <row r="352" spans="28:39" ht="31.5">
      <c r="AB352" s="467"/>
      <c r="AC352" s="467"/>
      <c r="AD352" s="467"/>
      <c r="AE352" s="467"/>
      <c r="AF352" s="467"/>
      <c r="AG352" s="467"/>
      <c r="AH352" s="419"/>
      <c r="AI352" s="467"/>
      <c r="AJ352" s="419"/>
      <c r="AK352" s="467"/>
      <c r="AL352" s="467"/>
      <c r="AM352" s="419"/>
    </row>
    <row r="353" spans="28:39" ht="31.5">
      <c r="AB353" s="467"/>
      <c r="AC353" s="467"/>
      <c r="AD353" s="467"/>
      <c r="AE353" s="467"/>
      <c r="AF353" s="467"/>
      <c r="AG353" s="467"/>
      <c r="AH353" s="419"/>
      <c r="AI353" s="467"/>
      <c r="AJ353" s="419"/>
      <c r="AK353" s="467"/>
      <c r="AL353" s="467"/>
      <c r="AM353" s="419"/>
    </row>
    <row r="354" spans="28:39" ht="31.5">
      <c r="AB354" s="467"/>
      <c r="AC354" s="467"/>
      <c r="AD354" s="467"/>
      <c r="AE354" s="467"/>
      <c r="AF354" s="467"/>
      <c r="AG354" s="467"/>
      <c r="AH354" s="419"/>
      <c r="AI354" s="467"/>
      <c r="AJ354" s="419"/>
      <c r="AK354" s="467"/>
      <c r="AL354" s="467"/>
      <c r="AM354" s="419"/>
    </row>
    <row r="355" spans="28:39" ht="31.5">
      <c r="AB355" s="467"/>
      <c r="AC355" s="467"/>
      <c r="AD355" s="467"/>
      <c r="AE355" s="467"/>
      <c r="AF355" s="467"/>
      <c r="AG355" s="467"/>
      <c r="AH355" s="419"/>
      <c r="AI355" s="467"/>
      <c r="AJ355" s="419"/>
      <c r="AK355" s="467"/>
      <c r="AL355" s="467"/>
      <c r="AM355" s="419"/>
    </row>
    <row r="356" spans="28:39" ht="31.5">
      <c r="AB356" s="467"/>
      <c r="AC356" s="467"/>
      <c r="AD356" s="467"/>
      <c r="AE356" s="467"/>
      <c r="AF356" s="467"/>
      <c r="AG356" s="467"/>
      <c r="AH356" s="419"/>
      <c r="AI356" s="467"/>
      <c r="AJ356" s="419"/>
      <c r="AK356" s="467"/>
      <c r="AL356" s="467"/>
      <c r="AM356" s="419"/>
    </row>
    <row r="357" spans="28:39" ht="31.5">
      <c r="AB357" s="467"/>
      <c r="AC357" s="467"/>
      <c r="AD357" s="467"/>
      <c r="AE357" s="467"/>
      <c r="AF357" s="467"/>
      <c r="AG357" s="467"/>
      <c r="AH357" s="419"/>
      <c r="AI357" s="467"/>
      <c r="AJ357" s="419"/>
      <c r="AK357" s="467"/>
      <c r="AL357" s="467"/>
      <c r="AM357" s="419"/>
    </row>
    <row r="358" spans="28:39" ht="31.5">
      <c r="AB358" s="467"/>
      <c r="AC358" s="467"/>
      <c r="AD358" s="467"/>
      <c r="AE358" s="467"/>
      <c r="AF358" s="467"/>
      <c r="AG358" s="467"/>
      <c r="AH358" s="419"/>
      <c r="AI358" s="467"/>
      <c r="AJ358" s="419"/>
      <c r="AK358" s="467"/>
      <c r="AL358" s="467"/>
      <c r="AM358" s="419"/>
    </row>
    <row r="359" spans="28:39" ht="31.5">
      <c r="AB359" s="467"/>
      <c r="AC359" s="482"/>
      <c r="AD359" s="482"/>
      <c r="AE359" s="482"/>
      <c r="AF359" s="482"/>
      <c r="AG359" s="482"/>
      <c r="AH359" s="485"/>
      <c r="AI359" s="482"/>
      <c r="AJ359" s="485"/>
      <c r="AK359" s="482"/>
      <c r="AL359" s="482"/>
      <c r="AM359" s="419"/>
    </row>
    <row r="360" spans="28:39" ht="31.5">
      <c r="AB360" s="467"/>
      <c r="AC360" s="482"/>
      <c r="AD360" s="482"/>
      <c r="AE360" s="482"/>
      <c r="AF360" s="482"/>
      <c r="AG360" s="482"/>
      <c r="AH360" s="485"/>
      <c r="AI360" s="482"/>
      <c r="AJ360" s="485"/>
      <c r="AK360" s="482"/>
      <c r="AL360" s="482"/>
      <c r="AM360" s="419"/>
    </row>
  </sheetData>
  <sheetProtection/>
  <mergeCells count="75">
    <mergeCell ref="AC329:AF329"/>
    <mergeCell ref="AC332:AD332"/>
    <mergeCell ref="AE332:AF332"/>
    <mergeCell ref="AJ317:AK317"/>
    <mergeCell ref="AB315:AM315"/>
    <mergeCell ref="AM317:AM318"/>
    <mergeCell ref="AB319:AB323"/>
    <mergeCell ref="AB324:AB327"/>
    <mergeCell ref="AB328:AC328"/>
    <mergeCell ref="AD86:AF87"/>
    <mergeCell ref="AG86:AG87"/>
    <mergeCell ref="AH86:AH87"/>
    <mergeCell ref="AB317:AC318"/>
    <mergeCell ref="AD317:AE317"/>
    <mergeCell ref="AF317:AG317"/>
    <mergeCell ref="AH317:AI317"/>
    <mergeCell ref="AD72:AF72"/>
    <mergeCell ref="AD77:AF77"/>
    <mergeCell ref="AD78:AF78"/>
    <mergeCell ref="AD83:AF83"/>
    <mergeCell ref="AD84:AF84"/>
    <mergeCell ref="AD85:AF85"/>
    <mergeCell ref="AD56:AF56"/>
    <mergeCell ref="AD64:AH64"/>
    <mergeCell ref="AD65:AH65"/>
    <mergeCell ref="AD66:AF66"/>
    <mergeCell ref="W68:W69"/>
    <mergeCell ref="AD71:AH71"/>
    <mergeCell ref="AD42:AF42"/>
    <mergeCell ref="AD47:AG47"/>
    <mergeCell ref="AD48:AF48"/>
    <mergeCell ref="AD49:AF49"/>
    <mergeCell ref="AD54:AG54"/>
    <mergeCell ref="AD55:AF55"/>
    <mergeCell ref="AD30:AF30"/>
    <mergeCell ref="AD35:AG35"/>
    <mergeCell ref="AD36:AF36"/>
    <mergeCell ref="AD37:AF37"/>
    <mergeCell ref="AD24:AF24"/>
    <mergeCell ref="AD41:AF41"/>
    <mergeCell ref="AQ4:AR4"/>
    <mergeCell ref="AD9:AG9"/>
    <mergeCell ref="Y3:Y6"/>
    <mergeCell ref="AD10:AF10"/>
    <mergeCell ref="AD11:AF11"/>
    <mergeCell ref="AD29:AF29"/>
    <mergeCell ref="Y343:Z343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Y332:Z333"/>
    <mergeCell ref="AG332:AH332"/>
    <mergeCell ref="AJ332:AJ333"/>
    <mergeCell ref="W332:X333"/>
    <mergeCell ref="AA332:AB332"/>
    <mergeCell ref="S4:W4"/>
    <mergeCell ref="AD17:AF17"/>
    <mergeCell ref="AD22:AG22"/>
    <mergeCell ref="AD23:AF23"/>
    <mergeCell ref="AD16:AF16"/>
    <mergeCell ref="A1:Y1"/>
    <mergeCell ref="A80:B80"/>
    <mergeCell ref="A97:B97"/>
    <mergeCell ref="A293:B293"/>
    <mergeCell ref="A51:B51"/>
    <mergeCell ref="A119:B119"/>
    <mergeCell ref="A62:B62"/>
    <mergeCell ref="A214:B214"/>
    <mergeCell ref="N4:R4"/>
  </mergeCells>
  <conditionalFormatting sqref="AD319:AD327 AF319:AF322 AH319:AH322 AJ324:AJ326 AJ319:AK322 AH324:AH326 AF324:AF326 AE323:AK323 AE327:AK327">
    <cfRule type="cellIs" priority="24" dxfId="20" operator="lessThan" stopIfTrue="1">
      <formula>0</formula>
    </cfRule>
  </conditionalFormatting>
  <conditionalFormatting sqref="AD319:AD328 AF319:AF322 AH319:AH322 AJ324:AJ326 AJ319:AK322 AH324:AH326 AF324:AF326 AE323:AK323 AE327:AK328">
    <cfRule type="cellIs" priority="23" dxfId="20" operator="lessThan" stopIfTrue="1">
      <formula>0</formula>
    </cfRule>
  </conditionalFormatting>
  <conditionalFormatting sqref="AG319:AG322 AG324:AG326">
    <cfRule type="cellIs" priority="10" dxfId="20" operator="lessThan" stopIfTrue="1">
      <formula>0</formula>
    </cfRule>
  </conditionalFormatting>
  <conditionalFormatting sqref="AG319:AG322 AG324:AG326">
    <cfRule type="cellIs" priority="9" dxfId="20" operator="lessThan" stopIfTrue="1">
      <formula>0</formula>
    </cfRule>
  </conditionalFormatting>
  <conditionalFormatting sqref="AI319:AI322 AI324:AI326">
    <cfRule type="cellIs" priority="8" dxfId="20" operator="lessThan" stopIfTrue="1">
      <formula>0</formula>
    </cfRule>
  </conditionalFormatting>
  <conditionalFormatting sqref="AI319:AI322 AI324:AI326">
    <cfRule type="cellIs" priority="7" dxfId="20" operator="lessThan" stopIfTrue="1">
      <formula>0</formula>
    </cfRule>
  </conditionalFormatting>
  <conditionalFormatting sqref="AE319:AE322 AE324:AE326">
    <cfRule type="cellIs" priority="4" dxfId="20" operator="lessThan" stopIfTrue="1">
      <formula>0</formula>
    </cfRule>
  </conditionalFormatting>
  <conditionalFormatting sqref="AE319:AE322 AE324:AE326">
    <cfRule type="cellIs" priority="3" dxfId="20" operator="lessThan" stopIfTrue="1">
      <formula>0</formula>
    </cfRule>
  </conditionalFormatting>
  <conditionalFormatting sqref="AK324:AK326">
    <cfRule type="cellIs" priority="1" dxfId="20" operator="lessThan" stopIfTrue="1">
      <formula>0</formula>
    </cfRule>
  </conditionalFormatting>
  <conditionalFormatting sqref="AK324:AK326">
    <cfRule type="cellIs" priority="2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2"/>
  <headerFooter alignWithMargins="0">
    <oddFooter>&amp;C&amp;P/&amp;N</oddFooter>
  </headerFooter>
  <rowBreaks count="5" manualBreakCount="5">
    <brk id="61" max="255" man="1"/>
    <brk id="101" max="55" man="1"/>
    <brk id="170" max="55" man="1"/>
    <brk id="211" max="255" man="1"/>
    <brk id="310" max="255" man="1"/>
  </rowBreaks>
  <colBreaks count="2" manualBreakCount="2">
    <brk id="26" max="65535" man="1"/>
    <brk id="42" max="3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70" zoomScaleSheetLayoutView="70" zoomScalePageLayoutView="0" workbookViewId="0" topLeftCell="A1">
      <selection activeCell="O15" sqref="O15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2.50390625" style="0" bestFit="1" customWidth="1"/>
    <col min="11" max="11" width="14.125" style="0" bestFit="1" customWidth="1"/>
    <col min="12" max="12" width="21.875" style="0" bestFit="1" customWidth="1"/>
  </cols>
  <sheetData>
    <row r="1" spans="1:12" ht="34.5">
      <c r="A1" s="596" t="s">
        <v>406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2" ht="34.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30" t="s">
        <v>394</v>
      </c>
    </row>
    <row r="3" spans="1:12" ht="34.5">
      <c r="A3" s="589" t="s">
        <v>376</v>
      </c>
      <c r="B3" s="590"/>
      <c r="C3" s="593" t="s">
        <v>377</v>
      </c>
      <c r="D3" s="594"/>
      <c r="E3" s="593" t="s">
        <v>378</v>
      </c>
      <c r="F3" s="594"/>
      <c r="G3" s="593" t="s">
        <v>391</v>
      </c>
      <c r="H3" s="594"/>
      <c r="I3" s="593" t="s">
        <v>379</v>
      </c>
      <c r="J3" s="594"/>
      <c r="K3" s="431" t="s">
        <v>388</v>
      </c>
      <c r="L3" s="597" t="s">
        <v>7</v>
      </c>
    </row>
    <row r="4" spans="1:12" ht="34.5">
      <c r="A4" s="591"/>
      <c r="B4" s="592"/>
      <c r="C4" s="432">
        <v>42936</v>
      </c>
      <c r="D4" s="432">
        <v>42935</v>
      </c>
      <c r="E4" s="432">
        <v>42936</v>
      </c>
      <c r="F4" s="432">
        <v>42935</v>
      </c>
      <c r="G4" s="432">
        <v>42936</v>
      </c>
      <c r="H4" s="432">
        <v>42935</v>
      </c>
      <c r="I4" s="432">
        <v>42936</v>
      </c>
      <c r="J4" s="432">
        <v>42935</v>
      </c>
      <c r="K4" s="433" t="s">
        <v>389</v>
      </c>
      <c r="L4" s="598"/>
    </row>
    <row r="5" spans="1:12" ht="34.5">
      <c r="A5" s="599" t="s">
        <v>380</v>
      </c>
      <c r="B5" s="434" t="s">
        <v>57</v>
      </c>
      <c r="C5" s="435">
        <v>1.048896</v>
      </c>
      <c r="D5" s="435">
        <v>1.048896</v>
      </c>
      <c r="E5" s="435">
        <v>3.4703999999999997</v>
      </c>
      <c r="F5" s="435">
        <v>2.9591999999999996</v>
      </c>
      <c r="G5" s="436">
        <v>0</v>
      </c>
      <c r="H5" s="436">
        <v>0.2592</v>
      </c>
      <c r="I5" s="435">
        <v>4.519296</v>
      </c>
      <c r="J5" s="435">
        <v>4.267296</v>
      </c>
      <c r="K5" s="437">
        <v>17</v>
      </c>
      <c r="L5" s="438"/>
    </row>
    <row r="6" spans="1:12" ht="34.5">
      <c r="A6" s="600"/>
      <c r="B6" s="434" t="s">
        <v>381</v>
      </c>
      <c r="C6" s="435">
        <v>0</v>
      </c>
      <c r="D6" s="435">
        <v>0</v>
      </c>
      <c r="E6" s="435">
        <v>2.0412</v>
      </c>
      <c r="F6" s="435">
        <v>1.7928</v>
      </c>
      <c r="G6" s="436">
        <v>0</v>
      </c>
      <c r="H6" s="436">
        <v>0</v>
      </c>
      <c r="I6" s="435">
        <v>2.0412</v>
      </c>
      <c r="J6" s="435">
        <v>1.7928</v>
      </c>
      <c r="K6" s="437">
        <v>9</v>
      </c>
      <c r="L6" s="438"/>
    </row>
    <row r="7" spans="1:12" ht="34.5">
      <c r="A7" s="600"/>
      <c r="B7" s="434" t="s">
        <v>382</v>
      </c>
      <c r="C7" s="435">
        <v>0.64386</v>
      </c>
      <c r="D7" s="435">
        <v>0.90378</v>
      </c>
      <c r="E7" s="435">
        <v>1.0368</v>
      </c>
      <c r="F7" s="435">
        <v>1.0368</v>
      </c>
      <c r="G7" s="436">
        <v>0</v>
      </c>
      <c r="H7" s="436">
        <v>0</v>
      </c>
      <c r="I7" s="435">
        <v>1.68066</v>
      </c>
      <c r="J7" s="435">
        <v>1.94058</v>
      </c>
      <c r="K7" s="437">
        <v>2</v>
      </c>
      <c r="L7" s="438"/>
    </row>
    <row r="8" spans="1:12" ht="34.5">
      <c r="A8" s="600"/>
      <c r="B8" s="434" t="s">
        <v>104</v>
      </c>
      <c r="C8" s="435">
        <v>1.7352</v>
      </c>
      <c r="D8" s="435">
        <v>1.1268</v>
      </c>
      <c r="E8" s="435">
        <v>12.956399999999999</v>
      </c>
      <c r="F8" s="435">
        <v>12.398399999999999</v>
      </c>
      <c r="G8" s="436">
        <v>0</v>
      </c>
      <c r="H8" s="436">
        <v>0</v>
      </c>
      <c r="I8" s="435">
        <v>14.6916</v>
      </c>
      <c r="J8" s="435">
        <v>13.525199999999998</v>
      </c>
      <c r="K8" s="437">
        <v>44</v>
      </c>
      <c r="L8" s="438"/>
    </row>
    <row r="9" spans="1:12" ht="35.25" thickBot="1">
      <c r="A9" s="601"/>
      <c r="B9" s="440" t="s">
        <v>383</v>
      </c>
      <c r="C9" s="441">
        <v>3.427956</v>
      </c>
      <c r="D9" s="441">
        <v>3.079476</v>
      </c>
      <c r="E9" s="441">
        <v>19.504799999999996</v>
      </c>
      <c r="F9" s="441">
        <v>18.187199999999997</v>
      </c>
      <c r="G9" s="441">
        <v>0</v>
      </c>
      <c r="H9" s="441">
        <v>0.2592</v>
      </c>
      <c r="I9" s="441">
        <v>22.932755999999998</v>
      </c>
      <c r="J9" s="441">
        <v>21.525875999999997</v>
      </c>
      <c r="K9" s="442">
        <v>72</v>
      </c>
      <c r="L9" s="443"/>
    </row>
    <row r="10" spans="1:12" ht="34.5">
      <c r="A10" s="602" t="s">
        <v>384</v>
      </c>
      <c r="B10" s="445" t="s">
        <v>57</v>
      </c>
      <c r="C10" s="446">
        <v>1.2836599355094453</v>
      </c>
      <c r="D10" s="446">
        <v>1.250937539691528</v>
      </c>
      <c r="E10" s="446">
        <v>0.324</v>
      </c>
      <c r="F10" s="446">
        <v>0.0468</v>
      </c>
      <c r="G10" s="447">
        <v>0.57024</v>
      </c>
      <c r="H10" s="447">
        <v>0.5616</v>
      </c>
      <c r="I10" s="446">
        <v>2.1778999355094455</v>
      </c>
      <c r="J10" s="446">
        <v>1.859337539691528</v>
      </c>
      <c r="K10" s="448">
        <v>0</v>
      </c>
      <c r="L10" s="449"/>
    </row>
    <row r="11" spans="1:12" ht="34.5">
      <c r="A11" s="600"/>
      <c r="B11" s="434" t="s">
        <v>43</v>
      </c>
      <c r="C11" s="435">
        <v>0.5700000000000001</v>
      </c>
      <c r="D11" s="435">
        <v>0.16</v>
      </c>
      <c r="E11" s="435">
        <v>2.9019999999999992</v>
      </c>
      <c r="F11" s="435">
        <v>3.098</v>
      </c>
      <c r="G11" s="436">
        <v>0.13</v>
      </c>
      <c r="H11" s="436">
        <v>0.7792</v>
      </c>
      <c r="I11" s="435">
        <v>3.6019999999999994</v>
      </c>
      <c r="J11" s="435">
        <v>4.0372</v>
      </c>
      <c r="K11" s="437">
        <v>14</v>
      </c>
      <c r="L11" s="438"/>
    </row>
    <row r="12" spans="1:12" ht="34.5">
      <c r="A12" s="600"/>
      <c r="B12" s="434" t="s">
        <v>104</v>
      </c>
      <c r="C12" s="435">
        <v>0</v>
      </c>
      <c r="D12" s="435">
        <v>0</v>
      </c>
      <c r="E12" s="435">
        <v>0</v>
      </c>
      <c r="F12" s="435">
        <v>0</v>
      </c>
      <c r="G12" s="436">
        <v>0</v>
      </c>
      <c r="H12" s="436">
        <v>0</v>
      </c>
      <c r="I12" s="435">
        <v>0</v>
      </c>
      <c r="J12" s="435">
        <v>0</v>
      </c>
      <c r="K12" s="437" t="s">
        <v>141</v>
      </c>
      <c r="L12" s="438"/>
    </row>
    <row r="13" spans="1:12" ht="34.5">
      <c r="A13" s="603"/>
      <c r="B13" s="453" t="s">
        <v>385</v>
      </c>
      <c r="C13" s="454">
        <v>1.8536599355094454</v>
      </c>
      <c r="D13" s="454">
        <v>1.410937539691528</v>
      </c>
      <c r="E13" s="454">
        <v>3.225999999999999</v>
      </c>
      <c r="F13" s="454">
        <v>3.1448</v>
      </c>
      <c r="G13" s="454">
        <v>0.70024</v>
      </c>
      <c r="H13" s="454">
        <v>1.3408</v>
      </c>
      <c r="I13" s="454">
        <v>5.7798999355094445</v>
      </c>
      <c r="J13" s="454">
        <v>5.896537539691528</v>
      </c>
      <c r="K13" s="455">
        <v>14</v>
      </c>
      <c r="L13" s="438"/>
    </row>
    <row r="14" spans="1:12" ht="34.5">
      <c r="A14" s="593" t="s">
        <v>386</v>
      </c>
      <c r="B14" s="594"/>
      <c r="C14" s="456">
        <v>5.281615935509445</v>
      </c>
      <c r="D14" s="456">
        <v>4.490413539691528</v>
      </c>
      <c r="E14" s="456">
        <v>22.730799999999995</v>
      </c>
      <c r="F14" s="456">
        <v>21.331999999999997</v>
      </c>
      <c r="G14" s="456">
        <v>0.70024</v>
      </c>
      <c r="H14" s="456">
        <v>1.6</v>
      </c>
      <c r="I14" s="456">
        <v>28.712655935509442</v>
      </c>
      <c r="J14" s="456">
        <v>27.422413539691526</v>
      </c>
      <c r="K14" s="457">
        <v>86</v>
      </c>
      <c r="L14" s="438"/>
    </row>
    <row r="15" spans="1:12" ht="34.5">
      <c r="A15" s="459" t="s">
        <v>390</v>
      </c>
      <c r="B15" s="595"/>
      <c r="C15" s="595"/>
      <c r="D15" s="595"/>
      <c r="E15" s="595"/>
      <c r="F15" s="460"/>
      <c r="G15" s="460"/>
      <c r="H15" s="460"/>
      <c r="I15" s="460"/>
      <c r="J15" s="460"/>
      <c r="K15" s="460"/>
      <c r="L15" s="460"/>
    </row>
    <row r="16" spans="1:12" ht="34.5">
      <c r="A16" s="462" t="s">
        <v>392</v>
      </c>
      <c r="B16" s="462"/>
      <c r="C16" s="462"/>
      <c r="D16" s="462"/>
      <c r="E16" s="462"/>
      <c r="F16" s="462"/>
      <c r="G16" s="463"/>
      <c r="H16" s="487"/>
      <c r="I16" s="487"/>
      <c r="J16" s="487"/>
      <c r="K16" s="604" t="s">
        <v>409</v>
      </c>
      <c r="L16" s="604"/>
    </row>
  </sheetData>
  <sheetProtection/>
  <mergeCells count="12">
    <mergeCell ref="A5:A9"/>
    <mergeCell ref="A10:A13"/>
    <mergeCell ref="A14:B14"/>
    <mergeCell ref="B15:E15"/>
    <mergeCell ref="K16:L16"/>
    <mergeCell ref="A1:L1"/>
    <mergeCell ref="A3:B4"/>
    <mergeCell ref="C3:D3"/>
    <mergeCell ref="E3:F3"/>
    <mergeCell ref="G3:H3"/>
    <mergeCell ref="I3:J3"/>
    <mergeCell ref="L3:L4"/>
  </mergeCells>
  <conditionalFormatting sqref="C5:C13 E5:E8 G5:G8 I10:I12 I5:J8 G10:G12 E10:E12 D9:J9 D13:J13">
    <cfRule type="cellIs" priority="10" dxfId="20" operator="lessThan" stopIfTrue="1">
      <formula>0</formula>
    </cfRule>
  </conditionalFormatting>
  <conditionalFormatting sqref="C5:C14 E5:E8 G5:G8 I10:I12 I5:J8 G10:G12 E10:E12 D9:J9 D13:J14">
    <cfRule type="cellIs" priority="9" dxfId="20" operator="lessThan" stopIfTrue="1">
      <formula>0</formula>
    </cfRule>
  </conditionalFormatting>
  <conditionalFormatting sqref="F5:F8 F10:F12">
    <cfRule type="cellIs" priority="8" dxfId="20" operator="lessThan" stopIfTrue="1">
      <formula>0</formula>
    </cfRule>
  </conditionalFormatting>
  <conditionalFormatting sqref="F5:F8 F10:F12">
    <cfRule type="cellIs" priority="7" dxfId="20" operator="lessThan" stopIfTrue="1">
      <formula>0</formula>
    </cfRule>
  </conditionalFormatting>
  <conditionalFormatting sqref="H5:H8 H10:H12">
    <cfRule type="cellIs" priority="6" dxfId="20" operator="lessThan" stopIfTrue="1">
      <formula>0</formula>
    </cfRule>
  </conditionalFormatting>
  <conditionalFormatting sqref="H5:H8 H10:H12">
    <cfRule type="cellIs" priority="5" dxfId="20" operator="lessThan" stopIfTrue="1">
      <formula>0</formula>
    </cfRule>
  </conditionalFormatting>
  <conditionalFormatting sqref="D5:D8 D10:D12">
    <cfRule type="cellIs" priority="4" dxfId="20" operator="lessThan" stopIfTrue="1">
      <formula>0</formula>
    </cfRule>
  </conditionalFormatting>
  <conditionalFormatting sqref="D5:D8 D10:D12">
    <cfRule type="cellIs" priority="3" dxfId="20" operator="lessThan" stopIfTrue="1">
      <formula>0</formula>
    </cfRule>
  </conditionalFormatting>
  <conditionalFormatting sqref="J10:J12">
    <cfRule type="cellIs" priority="1" dxfId="20" operator="lessThan" stopIfTrue="1">
      <formula>0</formula>
    </cfRule>
  </conditionalFormatting>
  <conditionalFormatting sqref="J10:J12">
    <cfRule type="cellIs" priority="2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bifern</cp:lastModifiedBy>
  <cp:lastPrinted>2017-07-09T03:43:03Z</cp:lastPrinted>
  <dcterms:created xsi:type="dcterms:W3CDTF">2012-10-25T02:36:03Z</dcterms:created>
  <dcterms:modified xsi:type="dcterms:W3CDTF">2017-07-20T03:18:19Z</dcterms:modified>
  <cp:category/>
  <cp:version/>
  <cp:contentType/>
  <cp:contentStatus/>
</cp:coreProperties>
</file>