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3721" windowWidth="16170" windowHeight="5025" activeTab="0"/>
  </bookViews>
  <sheets>
    <sheet name="Sheet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<sst xmlns="http://schemas.openxmlformats.org/spreadsheetml/2006/main" count="1055" uniqueCount="399">
  <si>
    <t xml:space="preserve"> </t>
  </si>
  <si>
    <t>โครงการ</t>
  </si>
  <si>
    <t>ลำดับที่</t>
  </si>
  <si>
    <t>ปตร./ปตน./สน.</t>
  </si>
  <si>
    <t>ระดับน้ำสูงสุดวันก่อน</t>
  </si>
  <si>
    <t>ระดับน้ำประจำวัน ณ เวลา 06.00 น.</t>
  </si>
  <si>
    <t>ปริมาณน้ำที่ระบาย+สูบน้ำ</t>
  </si>
  <si>
    <t>รวมการ</t>
  </si>
  <si>
    <t>หมายเหตุ</t>
  </si>
  <si>
    <t>ลงแม่น้ำ</t>
  </si>
  <si>
    <t>(1) ปตร./ปตน.</t>
  </si>
  <si>
    <t>(2) สถานีสูบน้ำถาวร</t>
  </si>
  <si>
    <r>
      <t>(3) สถานีสูบน้ำกึ่งถาวร 3 ม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/วินาที</t>
    </r>
  </si>
  <si>
    <t>ระบายน้ำ</t>
  </si>
  <si>
    <t>ด้านแม่น้ำ</t>
  </si>
  <si>
    <t>ด้านในคลอง</t>
  </si>
  <si>
    <t>จำนวน</t>
  </si>
  <si>
    <t>ความกว้าง</t>
  </si>
  <si>
    <t>เปิดบาน</t>
  </si>
  <si>
    <t>ยกบาน</t>
  </si>
  <si>
    <t>เวลา</t>
  </si>
  <si>
    <t>เปิดระบาย</t>
  </si>
  <si>
    <t>ขนาด</t>
  </si>
  <si>
    <t>จำนวนสูบ</t>
  </si>
  <si>
    <t>เวลาสูบ</t>
  </si>
  <si>
    <t>ปริมาณสูบน้ำ</t>
  </si>
  <si>
    <t>(1)+(2)+(3)</t>
  </si>
  <si>
    <t>ม. (รทก.)</t>
  </si>
  <si>
    <t>ช่อง</t>
  </si>
  <si>
    <t>ม.</t>
  </si>
  <si>
    <t>ชม.</t>
  </si>
  <si>
    <r>
      <t>Mm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/day</t>
    </r>
  </si>
  <si>
    <r>
      <t>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/s</t>
    </r>
  </si>
  <si>
    <t>เครื่อง</t>
  </si>
  <si>
    <t>(เครื่อง)</t>
  </si>
  <si>
    <t>(ชม.)</t>
  </si>
  <si>
    <t>Mm3/day</t>
  </si>
  <si>
    <t>รวมการระบายน้ำออกจากพื้นที่ทุ่งเจ้าพระยาทั้ง 2 ฝั่ง</t>
  </si>
  <si>
    <t>รวมการระบายน้ำออกจากพื้นที่ทุ่งเจ้าพระยาฝั่งตะวันออก</t>
  </si>
  <si>
    <t>DH</t>
  </si>
  <si>
    <t>H</t>
  </si>
  <si>
    <t>ระบายลงแม่น้ำเจ้าพระยา</t>
  </si>
  <si>
    <t>โครงการฯเจ้าเจ็ด</t>
  </si>
  <si>
    <t>รังสิตเหนือ</t>
  </si>
  <si>
    <t>ปตร.คลองเปรมเหนือรังสิต</t>
  </si>
  <si>
    <t>ลงแม่น้ำเจ้าพระยา</t>
  </si>
  <si>
    <t>แม่น้ำท่าจีน</t>
  </si>
  <si>
    <t>สน.สระเก็บน้ำพระราม 9-คลอง6</t>
  </si>
  <si>
    <t xml:space="preserve">1.ปตร.ปตน.สน. จำนวน </t>
  </si>
  <si>
    <t>แห่ง</t>
  </si>
  <si>
    <t>สน.สระเก็บน้ำพระราม 9-คลอง5</t>
  </si>
  <si>
    <t>2.สน.สูบน้ำถาวร จำนวน</t>
  </si>
  <si>
    <t>ปตร.เปรมเหนือบางปะอิน</t>
  </si>
  <si>
    <t>3.เครื่องสูบน้ำเคลื่อนที่ จำนวน</t>
  </si>
  <si>
    <t>4.ระบายน้ำ วันละ</t>
  </si>
  <si>
    <t>ล้าน ลบ.ม.</t>
  </si>
  <si>
    <t>รังสิตใต้</t>
  </si>
  <si>
    <t>สน.ปากคลองรังสิตฯกึ่งถาวร</t>
  </si>
  <si>
    <t>พ้นน้ำ</t>
  </si>
  <si>
    <t>สน.จุฬาลงกรณ์</t>
  </si>
  <si>
    <t>แม่น้ำเจ้าพระยา</t>
  </si>
  <si>
    <t>ปตน.จุฬาลงกรณ์</t>
  </si>
  <si>
    <t>ปตร.เปรมใต้รังสิต</t>
  </si>
  <si>
    <t>นนทบุรี</t>
  </si>
  <si>
    <t>ปตร.คลองบางบุนนาค</t>
  </si>
  <si>
    <t>ปตร.คลองบางขุนเทียน</t>
  </si>
  <si>
    <t>ปตร. คลองบางตะนาวศรี</t>
  </si>
  <si>
    <t>ทรบ.คลองบางขวาง</t>
  </si>
  <si>
    <t>โครงการฯพระยาบรรลือ</t>
  </si>
  <si>
    <t>ปตร.คลองบางแพรก 1</t>
  </si>
  <si>
    <t>ทรบ.คลองบางแพรก 2</t>
  </si>
  <si>
    <t>ทรบ.คลองมะขามโพรง</t>
  </si>
  <si>
    <t>ปตร.คลองบางซื่อน้อย</t>
  </si>
  <si>
    <t>ปตร.คลองบางกระสอ</t>
  </si>
  <si>
    <t>ปตร.คลองบางสร้อยทอง</t>
  </si>
  <si>
    <t>ปตร. คลองบางธรณี</t>
  </si>
  <si>
    <t>ทรบ.คลองวัดตำหนักใต้</t>
  </si>
  <si>
    <t>ปตร.คลองท่าทราย</t>
  </si>
  <si>
    <t>ปตร. ปลายคลองท่าทราย</t>
  </si>
  <si>
    <t>ปตร. คลองบางตลาด</t>
  </si>
  <si>
    <t>ปตร.ปลายคลองบางตลาด</t>
  </si>
  <si>
    <t>ทรบ.คลองบางตลาดน้อย</t>
  </si>
  <si>
    <t>โครงการฯพระพิมล</t>
  </si>
  <si>
    <t>ทรบ.คลองวัดกลางเกร็ด</t>
  </si>
  <si>
    <t>ปตร. คลองบางพูด</t>
  </si>
  <si>
    <t>ปตร.คลองบางพัง</t>
  </si>
  <si>
    <t>ทรบ.คลองบ้านเก่า</t>
  </si>
  <si>
    <t>ปตร. คลองบ้านใหม่</t>
  </si>
  <si>
    <t>ปทุมธานี</t>
  </si>
  <si>
    <t>ปตร.สน.คลองเชียงรากน้อย</t>
  </si>
  <si>
    <t>ปตร.สน.คลองเชียงรากใหม่</t>
  </si>
  <si>
    <t>ปตร.บ้านพลับ</t>
  </si>
  <si>
    <t>ปตร.โคกตาเขียว</t>
  </si>
  <si>
    <t>ปตร.คลองสาธารณะ</t>
  </si>
  <si>
    <t>ปตร.คลองคู</t>
  </si>
  <si>
    <t>ปตร.สน.คลองบ้านพร้าว</t>
  </si>
  <si>
    <t>โครงการฯภาษีเจริญ</t>
  </si>
  <si>
    <t>ปตร.คลองเชียงรากใหญ่</t>
  </si>
  <si>
    <t>ปตร.สน.คลองบ้านกระแชง</t>
  </si>
  <si>
    <t>ปตร.สน.คลองบางหลวงเชียงราก</t>
  </si>
  <si>
    <t>ระบายลงแม่น้ำนครนายก</t>
  </si>
  <si>
    <t>หนองจอก(ปลายคลอง23)</t>
  </si>
  <si>
    <t>ปตน. สน.เสาวภาผ่องศรี</t>
  </si>
  <si>
    <t>ลงแม่น้ำนครนายก</t>
  </si>
  <si>
    <t xml:space="preserve">ปตร.บางกระจิก </t>
  </si>
  <si>
    <t>ปตร.คลอง 22</t>
  </si>
  <si>
    <t>โครงการฯสมุทรสาคร</t>
  </si>
  <si>
    <t>ปตร.พระอาจารย์</t>
  </si>
  <si>
    <t>อ่าวไทย</t>
  </si>
  <si>
    <t>ปตน. สน.สมบูรณ์</t>
  </si>
  <si>
    <t>ปตร.สน. คลอง 21</t>
  </si>
  <si>
    <t>ปตร.คลอง 20</t>
  </si>
  <si>
    <t>ปตร.คลอง 19</t>
  </si>
  <si>
    <t>ระบายลงแม่น้ำบางปะกง</t>
  </si>
  <si>
    <t>พระองค์ไชยานุชิต</t>
  </si>
  <si>
    <t>ปตร.สน.บางขนาก</t>
  </si>
  <si>
    <t>ลงแม่น้ำบางปะกง</t>
  </si>
  <si>
    <t>ปตร.สน.ประจำรัง</t>
  </si>
  <si>
    <t>สภาพการระบานน้ำพื้นที่ฝั่งตะวันตก</t>
  </si>
  <si>
    <t>ปตร.สน.บางโรง</t>
  </si>
  <si>
    <t>ปตร.บางห้าง</t>
  </si>
  <si>
    <t>ปตร.บางอ่าง</t>
  </si>
  <si>
    <t>ปตร.บ้านใหม่</t>
  </si>
  <si>
    <t>ปตร.สน. ท่าไข่</t>
  </si>
  <si>
    <t>ระบายน้ำเข้าพื้นที่</t>
  </si>
  <si>
    <t>ปตร.สน. ท่าไข่ 2</t>
  </si>
  <si>
    <t>ปตร.สน.บางพระ</t>
  </si>
  <si>
    <t>ปตร.สน. ท่าถั่ว</t>
  </si>
  <si>
    <t>ปตร.ลาดขวาง</t>
  </si>
  <si>
    <t>ปตร.แสนภูดาษ</t>
  </si>
  <si>
    <t>ปตร.จางวาง</t>
  </si>
  <si>
    <t>ปตร.คลองใหม่</t>
  </si>
  <si>
    <t>ปตร.สน. ปากตะคลอง</t>
  </si>
  <si>
    <t>ปตร.สน.วังตะเคียน</t>
  </si>
  <si>
    <t>ระบายลงอ่าวไทย</t>
  </si>
  <si>
    <t>ชลหารพิจิตร</t>
  </si>
  <si>
    <t>ปตร.บางปิ้ง</t>
  </si>
  <si>
    <t>ปตร.ชลหารพิจิตร</t>
  </si>
  <si>
    <t>ลงอ่าวไทย</t>
  </si>
  <si>
    <t>สถานีสูบน้ำชลหารพิจิตร 1</t>
  </si>
  <si>
    <t>สถานีสูบน้ำชลหารพิจิตร 2</t>
  </si>
  <si>
    <t>สถานีสูบน้ำชลหารพิจิตร 24</t>
  </si>
  <si>
    <t>รวมระบายน้ำลงแม่น้ำท่าจีน</t>
  </si>
  <si>
    <t>สถานีสูบน้ำคลองด่าน 2</t>
  </si>
  <si>
    <t>รวมระบายน้ำลงแม่น้ำเจ้าพระยา</t>
  </si>
  <si>
    <t>สถานีสูบน้ำเจริญราษฎร์</t>
  </si>
  <si>
    <t>-</t>
  </si>
  <si>
    <t>รวมระบายน้ำลงอ่าวไทย</t>
  </si>
  <si>
    <t>สถานีสูบน้ำบางปลา</t>
  </si>
  <si>
    <t>รวมปริมาตรน้ำที่ระบายทั้งสิ้น</t>
  </si>
  <si>
    <r>
      <t>ล้าน ม.</t>
    </r>
    <r>
      <rPr>
        <vertAlign val="superscript"/>
        <sz val="11"/>
        <color indexed="8"/>
        <rFont val="Tahoma"/>
        <family val="1"/>
      </rPr>
      <t>3</t>
    </r>
  </si>
  <si>
    <t>สถานีสูบน้ำบางปลาร้า</t>
  </si>
  <si>
    <t>สถานีสูบน้ำตำหรุ</t>
  </si>
  <si>
    <t>สถานีสูบน้ำสุวรรณภูมิ</t>
  </si>
  <si>
    <t>ปตร.คลองตรง</t>
  </si>
  <si>
    <t>ปตร.สน.นางหงษ์</t>
  </si>
  <si>
    <t>ปตร.สน. พระยาวิสูตร</t>
  </si>
  <si>
    <t>ปตร.สน.เทพรังสรรค์</t>
  </si>
  <si>
    <t>สมุทรปราการ</t>
  </si>
  <si>
    <t xml:space="preserve"> ปตร.คลองสวน</t>
  </si>
  <si>
    <t xml:space="preserve"> ปตร.คลองกระออม</t>
  </si>
  <si>
    <t>ระบายในพื้นที่</t>
  </si>
  <si>
    <t>ปตร.กลางคลองรังสิต (12-13)</t>
  </si>
  <si>
    <t>กลางคลองรังสิต</t>
  </si>
  <si>
    <t>สน.คลองหกวา</t>
  </si>
  <si>
    <t>ไซฟอนหกวา</t>
  </si>
  <si>
    <t>ลงคลองหกวา</t>
  </si>
  <si>
    <t>ปตร.ปลายคลอง 13</t>
  </si>
  <si>
    <t>จากคลองหกวาสายล่างลงคลอง 13</t>
  </si>
  <si>
    <t>ลงคลอง 13</t>
  </si>
  <si>
    <t>จากคลองรังสิตลงคลอง 13</t>
  </si>
  <si>
    <t>ปตร.หนองหมู</t>
  </si>
  <si>
    <t>ปตร.ปลายคลอง 2 อ.</t>
  </si>
  <si>
    <t>ปตร.กลางคลองบางขนาก</t>
  </si>
  <si>
    <t>ปตร.กลางคลองประเวศน์</t>
  </si>
  <si>
    <t>ปตร.สน.ปากคลองคันกั้นน้ำบางขนาก-ท่าไข่</t>
  </si>
  <si>
    <t>ปตร.สน.ชีปะขาว</t>
  </si>
  <si>
    <t>สน.และ ปตร.หนองจอก</t>
  </si>
  <si>
    <t>ลงคลองบางขนาก</t>
  </si>
  <si>
    <t xml:space="preserve">ปตร.กลางคลองหลวงแพ่ง </t>
  </si>
  <si>
    <t>สน.และปตร.คลองประเวศน์ฯ</t>
  </si>
  <si>
    <t>ลงคลองพระองค์</t>
  </si>
  <si>
    <t>ปตร.คลองสองหลวงแพ่ง</t>
  </si>
  <si>
    <t>ปตร.คลองหนึ่งหลวงแพ่ง</t>
  </si>
  <si>
    <t>ปตร.คลองกาหลง</t>
  </si>
  <si>
    <t>รวมการระบายน้ำออกจากพื้นที่ทุ่งเจ้าพระยาฝั่งตะวันตก</t>
  </si>
  <si>
    <t>ระบายลงแม่น้ำท่าจีน</t>
  </si>
  <si>
    <t>เจ้าเจ็ดบางยี่หน</t>
  </si>
  <si>
    <t>สน.ปตน.บางยี่หน</t>
  </si>
  <si>
    <t>ปตร.ดาบเงิน</t>
  </si>
  <si>
    <t>block 1</t>
  </si>
  <si>
    <t>ปตร.สน.ปลายคลองสาลี</t>
  </si>
  <si>
    <t>ปตร.บางปลาร้า</t>
  </si>
  <si>
    <t>ปตร.บางซอ</t>
  </si>
  <si>
    <t>พระยาบรรลือ</t>
  </si>
  <si>
    <t>ปตร. พระยาบรรลือ</t>
  </si>
  <si>
    <t>ปตน. พระยาบรรลือ</t>
  </si>
  <si>
    <t>สน.พระยาบรรลือ</t>
  </si>
  <si>
    <t>ปตร. สน.บางหวาย</t>
  </si>
  <si>
    <t>block 2</t>
  </si>
  <si>
    <t>ปตร.สน.บางไทรป่า</t>
  </si>
  <si>
    <t>ปตร. สน.ประชาศรัย</t>
  </si>
  <si>
    <t>ปตร.พิศมัย</t>
  </si>
  <si>
    <t>พระพิมล</t>
  </si>
  <si>
    <t>สสน.พระพิมล</t>
  </si>
  <si>
    <t>ปตน.พระพิมล</t>
  </si>
  <si>
    <t>ปตร.พระพิมล</t>
  </si>
  <si>
    <t>ปตร.บางยุง</t>
  </si>
  <si>
    <t>ปตร.บางภาษี</t>
  </si>
  <si>
    <t>สสน.บางภาษี</t>
  </si>
  <si>
    <t>ปตร.นกกระทุง</t>
  </si>
  <si>
    <t>block 3</t>
  </si>
  <si>
    <t>ปตร.ลำพญา</t>
  </si>
  <si>
    <t>ปตร.ทองหลาง</t>
  </si>
  <si>
    <t>ปตร.มะเดื่อ</t>
  </si>
  <si>
    <t>ปตร.มะดัน</t>
  </si>
  <si>
    <t>ปตร.สวิตชาติ</t>
  </si>
  <si>
    <t>ปตร.บางขโมย</t>
  </si>
  <si>
    <t>ปตร.บางควาย</t>
  </si>
  <si>
    <t>ปตร.บางบอน</t>
  </si>
  <si>
    <t>ปตร.บางแก้วฟ้า</t>
  </si>
  <si>
    <t>ปตร.ตาอิน</t>
  </si>
  <si>
    <t>ปตร.เจ็กก๊วย</t>
  </si>
  <si>
    <t>ปตร.บางปลาดุก</t>
  </si>
  <si>
    <t>ปตร.ลัดกลางทุ่ง</t>
  </si>
  <si>
    <t>ปตร.บางกระจัน</t>
  </si>
  <si>
    <t>ปตร.บางไกรซ้อน</t>
  </si>
  <si>
    <t>ทรบ.รางจิก</t>
  </si>
  <si>
    <t>ปตร.บางสะบ้า</t>
  </si>
  <si>
    <t>ปตร.สำโรง</t>
  </si>
  <si>
    <t>ทรบ.คลองควาย</t>
  </si>
  <si>
    <t>ปตร.สน. คลองโยง</t>
  </si>
  <si>
    <t>ปตร..คลองโยง</t>
  </si>
  <si>
    <t>ปตร.กระทุ่มเมือง</t>
  </si>
  <si>
    <t>ปตร.คลองขุดใหม่</t>
  </si>
  <si>
    <t>ปตร.บางคลองเก็ง</t>
  </si>
  <si>
    <t>สสน.มหาสวัสดิ์</t>
  </si>
  <si>
    <t>ปตร.มหาสวัสดิ์</t>
  </si>
  <si>
    <t>ปตน.มหาสวัสดิ์</t>
  </si>
  <si>
    <t>ปตร.สน.บ้านกล้วย</t>
  </si>
  <si>
    <t>ภาษีเจริญ</t>
  </si>
  <si>
    <t>ปตร. สน.มะยม</t>
  </si>
  <si>
    <t>ปตร. สน.ยาว</t>
  </si>
  <si>
    <t>ปตร. สน. โรงคราม</t>
  </si>
  <si>
    <t>ปตร. สน. สุคต(ด้านแม่น้ำท่าจีน)</t>
  </si>
  <si>
    <t>block 4</t>
  </si>
  <si>
    <t>สน. ทรบ.บางเตย</t>
  </si>
  <si>
    <t>สน. ปตร.สามบาท (ด้านแม่น้ำท่าจีน)</t>
  </si>
  <si>
    <t>สน. ปตร.วัฒนา</t>
  </si>
  <si>
    <t>สน. ปตร.บางกระทึก</t>
  </si>
  <si>
    <t>สน. ปตร.ฉาง</t>
  </si>
  <si>
    <t>สน. ปตร.บางยาง</t>
  </si>
  <si>
    <t>สน. ปตร.บางซื่อ</t>
  </si>
  <si>
    <t>สน. ปตร.ท่าพูด</t>
  </si>
  <si>
    <t>สน. ทรบ.พร้าว</t>
  </si>
  <si>
    <t>สน. ปตร.บ้านไร่</t>
  </si>
  <si>
    <t>สถานีสูบน้ำ  ปตร.ไหหลำ(บน)</t>
  </si>
  <si>
    <t>สถานีสูบน้ำ ปตร. คลองตันเจริญสุข</t>
  </si>
  <si>
    <t>สถานีสูบน้ำ  ปตร.คลองนา</t>
  </si>
  <si>
    <t>สน. ปตร.อ้อมใหญ่</t>
  </si>
  <si>
    <t>สน. ปตร.อ้อมน้อย</t>
  </si>
  <si>
    <t>ปิด</t>
  </si>
  <si>
    <t>สน. ปตร.นางสาวเหนือ</t>
  </si>
  <si>
    <t>สน. ปตร.บางพระ</t>
  </si>
  <si>
    <t>สน. ปตน.กระทุ่มแบน</t>
  </si>
  <si>
    <t>สน. ปตร.ท่าเสา</t>
  </si>
  <si>
    <t xml:space="preserve">ปตร.ไหหลำ </t>
  </si>
  <si>
    <t>ปตร.บางกรูด</t>
  </si>
  <si>
    <t>ปตร.ตาเพชร</t>
  </si>
  <si>
    <t>ปตร.กระทุ่มแบน (แป๊ะกง)</t>
  </si>
  <si>
    <t>สน.  ปตร.สี่วาพาสวัสดิ์</t>
  </si>
  <si>
    <t>สน.  ปตร.คอกกระบือ</t>
  </si>
  <si>
    <t>สน.  ปตร.บางน้ำจืด</t>
  </si>
  <si>
    <t>สน.ปตร.สมุทรสาครสายเก่า</t>
  </si>
  <si>
    <t>ปตร.สวนฝ้าย</t>
  </si>
  <si>
    <t>ที่ติดตั้งเครื่องสูบน้ำอื่น ๆ</t>
  </si>
  <si>
    <t>สมุทรสาคร</t>
  </si>
  <si>
    <t>ปตร. และสน.คลองมหาชัย</t>
  </si>
  <si>
    <t>ปตร.ขนมจีน</t>
  </si>
  <si>
    <t>ปตร.บางแขยง</t>
  </si>
  <si>
    <t>ปตร.ท่าช้าง</t>
  </si>
  <si>
    <t>ปตร.ช่างเหล็ก</t>
  </si>
  <si>
    <t>ปตร.ปลายคลองไผ่พระ</t>
  </si>
  <si>
    <t>ปตร.บางแก</t>
  </si>
  <si>
    <t>ปตร.บ้านแขก</t>
  </si>
  <si>
    <t>ปตร.สิงหนาท 2</t>
  </si>
  <si>
    <t>สน.สิงหนาท 2</t>
  </si>
  <si>
    <t>ท่อลอด สิงหนาท 2</t>
  </si>
  <si>
    <t>ปตร.สิงหนาท</t>
  </si>
  <si>
    <t>ปตน.สิงหนาท</t>
  </si>
  <si>
    <t>ปตร.พระอุดม</t>
  </si>
  <si>
    <t>ปตน.พระอุดม</t>
  </si>
  <si>
    <t>ปตร.บางบัวทอง</t>
  </si>
  <si>
    <t>ปตน.บางบัวทอง</t>
  </si>
  <si>
    <t>block 2-1</t>
  </si>
  <si>
    <t>ปตร. สน.วัดทองสะอาด</t>
  </si>
  <si>
    <t>ปตร.คลองสระ</t>
  </si>
  <si>
    <t>ปตร. สน. ยายส่อน</t>
  </si>
  <si>
    <t>ปตร.ฉิมพลี</t>
  </si>
  <si>
    <t>block 3-1</t>
  </si>
  <si>
    <t>ปตร.บางใหญ่</t>
  </si>
  <si>
    <t>ปตน.ฉิมพลี</t>
  </si>
  <si>
    <t>ปตร.คลองควาย</t>
  </si>
  <si>
    <t>ปตร.บางเตย</t>
  </si>
  <si>
    <t>block 2-2</t>
  </si>
  <si>
    <t>ปตร.คลองวัดดอกไม้</t>
  </si>
  <si>
    <t>ปตร.คลองวัดตำหนัก</t>
  </si>
  <si>
    <t>ปตร.สน. คลองสะแก</t>
  </si>
  <si>
    <t>ปตร.คลองเกาะปิ้ง</t>
  </si>
  <si>
    <t>ปตร.คลองบ้านธาตุ</t>
  </si>
  <si>
    <t>ปตร.คลองวัดสิงห์</t>
  </si>
  <si>
    <t>ปตร.คลองวัดแจ้ง</t>
  </si>
  <si>
    <t>ปตร.คลองขนอน</t>
  </si>
  <si>
    <t>ปตร.คลองป่าฝ้าย</t>
  </si>
  <si>
    <t>ปตร.สน. คลองวิ</t>
  </si>
  <si>
    <t>ปตร.สน.คลองใหญ่</t>
  </si>
  <si>
    <t>ปตร.สน.คลองคันเหนือ</t>
  </si>
  <si>
    <t>ปตร. คลองบางนา</t>
  </si>
  <si>
    <t>ปตร.สน. คลองบางโพธิ์เหนือ</t>
  </si>
  <si>
    <t>ปตร.และ สน.คลองพิกุล</t>
  </si>
  <si>
    <t>ปตร.คลองบางปรอก</t>
  </si>
  <si>
    <t>ปตร. สน.คลองวัดโส</t>
  </si>
  <si>
    <t>ปตร. สน.คลองใหญ่บ้านฉาง</t>
  </si>
  <si>
    <t>ทรบ.คลองวัดโคก</t>
  </si>
  <si>
    <t xml:space="preserve"> 1x1</t>
  </si>
  <si>
    <t>ปตร.สน.คลองบางหลวง</t>
  </si>
  <si>
    <t>ปตร.สน. คลองบางโพธิ์ใต้</t>
  </si>
  <si>
    <t>ปตร.สน. คลองบางเดื่อ</t>
  </si>
  <si>
    <t>ปตร.สน. คลองนา</t>
  </si>
  <si>
    <t>ปตร.สน. คลองยายยุ้ย</t>
  </si>
  <si>
    <t>ปตร.สน. คลองบางกะจีน</t>
  </si>
  <si>
    <t>ปตร.สน. คลองบางคูวัด</t>
  </si>
  <si>
    <t>ปตร.คลองเกาะเกรียง</t>
  </si>
  <si>
    <t>ปตร.คลองบางตะไนย์</t>
  </si>
  <si>
    <t>ปตร.คลองแหลมเหนือ</t>
  </si>
  <si>
    <t>ปตร.คลองแหลมกลาง</t>
  </si>
  <si>
    <t>ปตร.คลองบางภูมิ</t>
  </si>
  <si>
    <t>ปตร.คลองบางวัด</t>
  </si>
  <si>
    <t>ปตร.คลองบางพลับ</t>
  </si>
  <si>
    <t>ปตร.คลองบางน้อย</t>
  </si>
  <si>
    <t>ปตร.คลองวัดแดง</t>
  </si>
  <si>
    <t>ปตร.คลองหลุมมะดัน</t>
  </si>
  <si>
    <t>block 3-2</t>
  </si>
  <si>
    <t>ปตร.คลองสวนพริก</t>
  </si>
  <si>
    <t>ทรบ.ลำรางธรรมชาติ</t>
  </si>
  <si>
    <t>ø0.8</t>
  </si>
  <si>
    <t>ทรบ.คลองยายปั่น</t>
  </si>
  <si>
    <t>ทรบ.คลองยายล้วน</t>
  </si>
  <si>
    <t>ทรบ.คลองยายชื้น</t>
  </si>
  <si>
    <t>ทรบ.คลองลำประโดง</t>
  </si>
  <si>
    <t>ทรบ.คลองผู้ใหญ่ฟัก</t>
  </si>
  <si>
    <t>ทรบ.คลองยายโทน</t>
  </si>
  <si>
    <t>ทรบ.คลองโรงยาเก่า</t>
  </si>
  <si>
    <t>ทรบ.คลองยายล้อม</t>
  </si>
  <si>
    <t>ทรบ.คลองบางเลน</t>
  </si>
  <si>
    <t>ปตร.คลองบางไผ่</t>
  </si>
  <si>
    <t>ปตร.คลองบางไผ่น้อย</t>
  </si>
  <si>
    <t>ปตร.คลองบางไผ่ใหญ่</t>
  </si>
  <si>
    <t>ปตร.คลองบางสีทอง</t>
  </si>
  <si>
    <t>ปตร.วัดค้างคาว</t>
  </si>
  <si>
    <t>ปตร.คลองธรรมบาล</t>
  </si>
  <si>
    <t>ปตร.คลองพระอุดม</t>
  </si>
  <si>
    <t>ปตร.คลองบางบัวทอง</t>
  </si>
  <si>
    <t>ปตร.คลองอ้อมนนท์</t>
  </si>
  <si>
    <t>ปตร.สน.บางกรวย</t>
  </si>
  <si>
    <t>ปตร.สหกรณ์สาย 3</t>
  </si>
  <si>
    <t>ปตร.คลองเจ๊ก</t>
  </si>
  <si>
    <t>ปตร.โคกขามเก่า</t>
  </si>
  <si>
    <t>ปตร.โคกขาม</t>
  </si>
  <si>
    <t>ปตร.คลองลัดตะเคียน</t>
  </si>
  <si>
    <t>ปตร. ปตน. คลองแสมดำ</t>
  </si>
  <si>
    <t>1.จำนวนเครื่องสูบน้ำเคลื่อนที่ คิดเฉพาะจุดติดตั้งในอาคารชลประทานหลัก ไม่รวมแผนของสำนักโครงการขนาดใหญ่และเครื่องสูบน้ำเคลื่อนที่ที่ราษฎรร้องขอ</t>
  </si>
  <si>
    <t>2.การบริหารจัดการ ปิด-เปิด ปตร./ปตน. พิจารณาจากระดับน้ำด้านแม่น้ำและด้านในพื้นที่ โดยเมื่อระดับน้ำด้านแม่น้ำต่ำกว่าด้านในพื้นที่ จะดำเนินการเปิดบาน เพื่อเร่งระบายออกนอกพื้นที่ และเมื่อระดับน้ำด้านแม่น้ำเริ่มสูงกว่าจะพิจารณาปิดบาน และดำเนินการสูบน้ำออกนอกพื้นที่</t>
  </si>
  <si>
    <t>m3/s</t>
  </si>
  <si>
    <t>เครื่องสูบน้ำขนาด 8" ศักยภาพในการสูบน้ำ</t>
  </si>
  <si>
    <t>เครื่องสูบน้ำพญานาคขนาด 8" ศักยภาพในการสูบน้ำ</t>
  </si>
  <si>
    <t>เครื่องสูบน้ำไฟฟ้าขนาด 10" ศักยภาพในการสูบน้ำ</t>
  </si>
  <si>
    <t>เครื่องสูบน้ำขนาด 12" ศักยภาพในการสูบน้ำ</t>
  </si>
  <si>
    <t>เรือนาค 28" ศักยภาพในการสูบน้ำ</t>
  </si>
  <si>
    <t>พื้นที่</t>
  </si>
  <si>
    <t>ปตร. ปตน.</t>
  </si>
  <si>
    <t>สถานีสูบน้ำถาวร</t>
  </si>
  <si>
    <t>สถานีสูบน้ำกึ่งถาวร</t>
  </si>
  <si>
    <t>รวม</t>
  </si>
  <si>
    <t>เครื่องสูบน้ำ</t>
  </si>
  <si>
    <t>(จำนวน)</t>
  </si>
  <si>
    <t>ฝั่งตะวันออก</t>
  </si>
  <si>
    <t>แม่น้ำนครนายก</t>
  </si>
  <si>
    <t>แม่น้ำบางปะกง</t>
  </si>
  <si>
    <t xml:space="preserve">  </t>
  </si>
  <si>
    <t>รวมฝั่งตะวันออก</t>
  </si>
  <si>
    <t>ฝั่งตะวันตก</t>
  </si>
  <si>
    <t>รวมฝั่งตะวันตก</t>
  </si>
  <si>
    <t>รวมทั้ง 2 ฝั่ง</t>
  </si>
  <si>
    <t xml:space="preserve"> หมายเหตุ</t>
  </si>
  <si>
    <t xml:space="preserve">  (- )    รับน้ำเข้า</t>
  </si>
  <si>
    <t>ปตร.สน.บางขนาก2</t>
  </si>
  <si>
    <t>ปี 2561 ระบายน้ำสะสมรวม  170.89 ล้าน ลบ.ม.     (ขาด คป.ปทุมธานี คป.นนทบุรี คบ.ภาษีเจริญ)</t>
  </si>
  <si>
    <t>ผลการปฏิบัติการสูบน้ำ และระบายน้ำ ในเขต สชป.11 รายงาน ณ วันที่ 17 ก.ย. 62 (ข้อมูล ตั้งแต่ วันที่ 16 ก.ย. 62 วลา 06.00 น. ถึงวันที่ 17 ก.ย. 62  เวลา 06.00 น.)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</si>
</sst>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#,##0_ ;\-#,##0\ "/>
    <numFmt numFmtId="201" formatCode="[$-1070000]d/mm/yyyy;@"/>
    <numFmt numFmtId="202" formatCode="#,##0.000"/>
    <numFmt numFmtId="203" formatCode="[$-107041E]d\ mmm\ yy;@"/>
    <numFmt numFmtId="204" formatCode="\t&quot;฿&quot;#,##0_);\(\t&quot;฿&quot;#,##0\)"/>
    <numFmt numFmtId="205" formatCode="\t&quot;฿&quot;#,##0.00_);[Red]\(\t&quot;฿&quot;#,##0.00\)"/>
    <numFmt numFmtId="206" formatCode="0.000"/>
    <numFmt numFmtId="207" formatCode="#,##0;\(#,##0\)"/>
    <numFmt numFmtId="208" formatCode="\$#,##0.00;\(\$#,##0.00\)"/>
    <numFmt numFmtId="209" formatCode="\$#,##0;\(\$#,##0\)"/>
    <numFmt numFmtId="210" formatCode="[$-D07041E]#,##0.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_(* #,##0_);_(* \(#,##0\);_(* &quot;-&quot;??_);_(@_)"/>
    <numFmt numFmtId="216" formatCode="0.0"/>
    <numFmt numFmtId="217" formatCode="_-* #,##0.000_-;\-* #,##0.000_-;_-* &quot;-&quot;??_-;_-@_-"/>
    <numFmt numFmtId="218" formatCode="_(* #,##0.000_);_(* \(#,##0.000\);_(* &quot;-&quot;??_);_(@_)"/>
    <numFmt numFmtId="219" formatCode="0.0000"/>
    <numFmt numFmtId="220" formatCode="_-* #,##0.0_-;\-* #,##0.0_-;_-* &quot;-&quot;??_-;_-@_-"/>
    <numFmt numFmtId="221" formatCode="[$-D07041E]#,##0.00"/>
    <numFmt numFmtId="222" formatCode="[$-D07041E]#,##0"/>
    <numFmt numFmtId="223" formatCode="d\ ดดดbb\ h:mm"/>
    <numFmt numFmtId="224" formatCode="#,##0.0"/>
    <numFmt numFmtId="225" formatCode="d\ ดดดด\ bbbb"/>
    <numFmt numFmtId="226" formatCode="&quot;วันที่ &quot;d\ ดดดbbbb/&quot;(วันนี้)&quot;"/>
    <numFmt numFmtId="227" formatCode="&quot;วันที่ &quot;d\ ดดดbbbb/&quot;(เมื่อวาน)&quot;"/>
    <numFmt numFmtId="228" formatCode="&quot;วันที่ &quot;d\ ดดดbbbb/&quot;(วานซืน)&quot;"/>
    <numFmt numFmtId="229" formatCode="&quot;ข้อมูล ณ วันที่ &quot;d\ ดดดbbbb"/>
    <numFmt numFmtId="230" formatCode="\(General\)"/>
    <numFmt numFmtId="231" formatCode="&quot;ข้อมูล ณ วันที่ &quot;d\ ดดดด\ bbbb"/>
    <numFmt numFmtId="232" formatCode="d/mmmm/bbbb"/>
    <numFmt numFmtId="233" formatCode="d/ดดดด/bbbb"/>
    <numFmt numFmtId="234" formatCode="d\ ดดด"/>
    <numFmt numFmtId="235" formatCode="d\ mmmbbbb"/>
    <numFmt numFmtId="236" formatCode="General&quot;%&quot;"/>
    <numFmt numFmtId="237" formatCode="#,##0.000000"/>
    <numFmt numFmtId="238" formatCode="d\ mmmyyyy"/>
    <numFmt numFmtId="239" formatCode="ดดดด"/>
    <numFmt numFmtId="240" formatCode="[$-107041E]d/mm/yyyy;@"/>
    <numFmt numFmtId="241" formatCode="[$-41E]#,##0.00"/>
    <numFmt numFmtId="242" formatCode="[$-41E]0.00"/>
    <numFmt numFmtId="243" formatCode="_(* #,##0.0_);_(* \(#,##0.0\);_(* &quot;-&quot;??_);_(@_)"/>
  </numFmts>
  <fonts count="11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u val="single"/>
      <sz val="24"/>
      <name val="Angsana New"/>
      <family val="1"/>
    </font>
    <font>
      <u val="single"/>
      <sz val="24"/>
      <name val="Angsana New"/>
      <family val="1"/>
    </font>
    <font>
      <u val="single"/>
      <sz val="24"/>
      <name val="Symbol"/>
      <family val="1"/>
    </font>
    <font>
      <b/>
      <sz val="20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6"/>
      <name val="Angsana New"/>
      <family val="1"/>
    </font>
    <font>
      <vertAlign val="superscript"/>
      <sz val="11"/>
      <color indexed="8"/>
      <name val="Tahoma"/>
      <family val="1"/>
    </font>
    <font>
      <b/>
      <u val="single"/>
      <sz val="18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22"/>
      <name val="Angsana New"/>
      <family val="1"/>
    </font>
    <font>
      <sz val="16"/>
      <color indexed="36"/>
      <name val="Angsana New"/>
      <family val="1"/>
    </font>
    <font>
      <u val="single"/>
      <sz val="18"/>
      <name val="Symbol"/>
      <family val="1"/>
    </font>
    <font>
      <b/>
      <u val="single"/>
      <sz val="24"/>
      <color indexed="10"/>
      <name val="Angsana New"/>
      <family val="1"/>
    </font>
    <font>
      <sz val="21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sz val="19"/>
      <color indexed="10"/>
      <name val="Angsana New"/>
      <family val="1"/>
    </font>
    <font>
      <b/>
      <u val="single"/>
      <sz val="19"/>
      <color indexed="10"/>
      <name val="Angsana New"/>
      <family val="1"/>
    </font>
    <font>
      <sz val="10"/>
      <name val="Tahoma"/>
      <family val="2"/>
    </font>
    <font>
      <sz val="18"/>
      <name val="Angsana New"/>
      <family val="1"/>
    </font>
    <font>
      <sz val="19"/>
      <color indexed="50"/>
      <name val="Angsana New"/>
      <family val="1"/>
    </font>
    <font>
      <b/>
      <sz val="19"/>
      <color indexed="8"/>
      <name val="Angsana New"/>
      <family val="1"/>
    </font>
    <font>
      <b/>
      <u val="single"/>
      <sz val="19"/>
      <name val="Angsana New"/>
      <family val="1"/>
    </font>
    <font>
      <u val="single"/>
      <sz val="20"/>
      <name val="Angsana New"/>
      <family val="1"/>
    </font>
    <font>
      <u val="single"/>
      <sz val="19"/>
      <color indexed="10"/>
      <name val="Angsana New"/>
      <family val="1"/>
    </font>
    <font>
      <sz val="14"/>
      <name val="Cordia New"/>
      <family val="2"/>
    </font>
    <font>
      <u val="single"/>
      <sz val="19"/>
      <name val="Angsana New"/>
      <family val="1"/>
    </font>
    <font>
      <b/>
      <sz val="19"/>
      <color indexed="56"/>
      <name val="Angsana New"/>
      <family val="1"/>
    </font>
    <font>
      <u val="double"/>
      <sz val="19"/>
      <color indexed="56"/>
      <name val="Angsana New"/>
      <family val="1"/>
    </font>
    <font>
      <b/>
      <u val="single"/>
      <sz val="20"/>
      <color indexed="10"/>
      <name val="Angsana New"/>
      <family val="1"/>
    </font>
    <font>
      <sz val="21"/>
      <color indexed="10"/>
      <name val="Angsana New"/>
      <family val="1"/>
    </font>
    <font>
      <sz val="18"/>
      <color indexed="10"/>
      <name val="Angsana New"/>
      <family val="1"/>
    </font>
    <font>
      <b/>
      <sz val="19"/>
      <color indexed="10"/>
      <name val="Angsana New"/>
      <family val="1"/>
    </font>
    <font>
      <sz val="20"/>
      <color indexed="10"/>
      <name val="Angsana New"/>
      <family val="1"/>
    </font>
    <font>
      <sz val="11"/>
      <name val="Angsana New"/>
      <family val="1"/>
    </font>
    <font>
      <sz val="18"/>
      <color indexed="10"/>
      <name val="AngsanaUPC"/>
      <family val="1"/>
    </font>
    <font>
      <b/>
      <u val="single"/>
      <sz val="20"/>
      <name val="Angsana New"/>
      <family val="1"/>
    </font>
    <font>
      <sz val="20"/>
      <color indexed="8"/>
      <name val="Angsana New"/>
      <family val="1"/>
    </font>
    <font>
      <sz val="20"/>
      <name val="TH SarabunPSK"/>
      <family val="2"/>
    </font>
    <font>
      <sz val="20"/>
      <color indexed="10"/>
      <name val="TH SarabunPSK"/>
      <family val="2"/>
    </font>
    <font>
      <sz val="11"/>
      <color indexed="17"/>
      <name val="Tahoma"/>
      <family val="2"/>
    </font>
    <font>
      <sz val="16"/>
      <color indexed="10"/>
      <name val="Angsana New"/>
      <family val="1"/>
    </font>
    <font>
      <b/>
      <sz val="18"/>
      <color indexed="8"/>
      <name val="TH SarabunPSK"/>
      <family val="2"/>
    </font>
    <font>
      <u val="single"/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name val="Tahoma"/>
      <family val="2"/>
    </font>
    <font>
      <b/>
      <sz val="24"/>
      <name val="Angsana New"/>
      <family val="1"/>
    </font>
    <font>
      <sz val="24"/>
      <color indexed="10"/>
      <name val="Angsana New"/>
      <family val="1"/>
    </font>
    <font>
      <b/>
      <sz val="24"/>
      <color indexed="10"/>
      <name val="Angsana New"/>
      <family val="1"/>
    </font>
    <font>
      <b/>
      <sz val="22"/>
      <name val="Angsana New"/>
      <family val="1"/>
    </font>
    <font>
      <sz val="22"/>
      <color indexed="10"/>
      <name val="Angsana New"/>
      <family val="1"/>
    </font>
    <font>
      <sz val="26"/>
      <color indexed="10"/>
      <name val="Angsana New"/>
      <family val="1"/>
    </font>
    <font>
      <u val="single"/>
      <sz val="22"/>
      <name val="Angsana New"/>
      <family val="1"/>
    </font>
    <font>
      <sz val="22"/>
      <color indexed="9"/>
      <name val="Angsana New"/>
      <family val="1"/>
    </font>
    <font>
      <sz val="16"/>
      <color indexed="9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6"/>
      <name val="Cordia New"/>
      <family val="2"/>
    </font>
    <font>
      <sz val="10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Tahoma"/>
      <family val="2"/>
    </font>
    <font>
      <sz val="16"/>
      <name val="AngsanaUPC"/>
      <family val="1"/>
    </font>
    <font>
      <sz val="11"/>
      <color indexed="8"/>
      <name val="Calibri"/>
      <family val="2"/>
    </font>
    <font>
      <sz val="14"/>
      <name val="EucrosiaUPC"/>
      <family val="1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8"/>
      <color indexed="54"/>
      <name val="Tahoma"/>
      <family val="2"/>
    </font>
    <font>
      <sz val="16"/>
      <color indexed="8"/>
      <name val="TH SarabunPSK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24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TH SarabunPSK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4"/>
      <color theme="1" tint="0.04998999834060669"/>
      <name val="Angsana New"/>
      <family val="1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mediumGray">
        <bgColor indexed="42"/>
      </patternFill>
    </fill>
    <fill>
      <patternFill patternType="mediumGray"/>
    </fill>
    <fill>
      <patternFill patternType="mediumGray">
        <bgColor indexed="26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hair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thin"/>
      <top style="hair"/>
      <bottom style="hair"/>
    </border>
    <border>
      <left/>
      <right/>
      <top style="medium">
        <color indexed="10"/>
      </top>
      <bottom style="medium">
        <color indexed="10"/>
      </bottom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10"/>
      </left>
      <right/>
      <top style="medium"/>
      <bottom/>
    </border>
    <border>
      <left/>
      <right style="medium">
        <color indexed="10"/>
      </right>
      <top style="medium"/>
      <bottom/>
    </border>
    <border>
      <left style="medium">
        <color indexed="10"/>
      </left>
      <right/>
      <top style="medium">
        <color indexed="10"/>
      </top>
      <bottom/>
    </border>
    <border>
      <left style="medium">
        <color indexed="10"/>
      </left>
      <right/>
      <top style="medium">
        <color indexed="10"/>
      </top>
      <bottom style="medium"/>
    </border>
    <border>
      <left/>
      <right/>
      <top style="medium">
        <color indexed="10"/>
      </top>
      <bottom style="medium"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84" fillId="0" borderId="0">
      <alignment horizontal="centerContinuous"/>
      <protection/>
    </xf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65" fillId="38" borderId="1" applyNumberFormat="0" applyAlignment="0" applyProtection="0"/>
    <xf numFmtId="0" fontId="65" fillId="38" borderId="1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32" fillId="0" borderId="0" applyFont="0" applyFill="0" applyBorder="0" applyAlignment="0" applyProtection="0"/>
    <xf numFmtId="207" fontId="7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77" fillId="0" borderId="0">
      <alignment/>
      <protection/>
    </xf>
    <xf numFmtId="209" fontId="77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75" fillId="38" borderId="8" applyNumberFormat="0" applyAlignment="0" applyProtection="0"/>
    <xf numFmtId="0" fontId="75" fillId="38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42" borderId="10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10" fontId="8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43" borderId="11" applyNumberFormat="0" applyAlignment="0" applyProtection="0"/>
    <xf numFmtId="0" fontId="101" fillId="0" borderId="12" applyNumberFormat="0" applyFill="0" applyAlignment="0" applyProtection="0"/>
    <xf numFmtId="0" fontId="102" fillId="44" borderId="0" applyNumberFormat="0" applyBorder="0" applyAlignment="0" applyProtection="0"/>
    <xf numFmtId="0" fontId="47" fillId="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1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10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4" fillId="45" borderId="10" applyNumberFormat="0" applyAlignment="0" applyProtection="0"/>
    <xf numFmtId="0" fontId="105" fillId="46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6" fillId="0" borderId="13" applyNumberFormat="0" applyFill="0" applyAlignment="0" applyProtection="0"/>
    <xf numFmtId="0" fontId="107" fillId="47" borderId="0" applyNumberFormat="0" applyBorder="0" applyAlignment="0" applyProtection="0"/>
    <xf numFmtId="0" fontId="93" fillId="48" borderId="0" applyNumberFormat="0" applyBorder="0" applyAlignment="0" applyProtection="0"/>
    <xf numFmtId="0" fontId="93" fillId="49" borderId="0" applyNumberFormat="0" applyBorder="0" applyAlignment="0" applyProtection="0"/>
    <xf numFmtId="0" fontId="93" fillId="50" borderId="0" applyNumberFormat="0" applyBorder="0" applyAlignment="0" applyProtection="0"/>
    <xf numFmtId="0" fontId="93" fillId="51" borderId="0" applyNumberFormat="0" applyBorder="0" applyAlignment="0" applyProtection="0"/>
    <xf numFmtId="0" fontId="93" fillId="52" borderId="0" applyNumberFormat="0" applyBorder="0" applyAlignment="0" applyProtection="0"/>
    <xf numFmtId="0" fontId="93" fillId="53" borderId="0" applyNumberFormat="0" applyBorder="0" applyAlignment="0" applyProtection="0"/>
    <xf numFmtId="0" fontId="108" fillId="42" borderId="14" applyNumberFormat="0" applyAlignment="0" applyProtection="0"/>
    <xf numFmtId="0" fontId="0" fillId="54" borderId="15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09" fillId="0" borderId="16" applyNumberFormat="0" applyFill="0" applyAlignment="0" applyProtection="0"/>
    <xf numFmtId="0" fontId="110" fillId="0" borderId="17" applyNumberFormat="0" applyFill="0" applyAlignment="0" applyProtection="0"/>
    <xf numFmtId="0" fontId="111" fillId="0" borderId="18" applyNumberFormat="0" applyFill="0" applyAlignment="0" applyProtection="0"/>
    <xf numFmtId="0" fontId="111" fillId="0" borderId="0" applyNumberFormat="0" applyFill="0" applyBorder="0" applyAlignment="0" applyProtection="0"/>
  </cellStyleXfs>
  <cellXfs count="619">
    <xf numFmtId="0" fontId="0" fillId="0" borderId="0" xfId="0" applyFont="1" applyAlignment="1">
      <alignment/>
    </xf>
    <xf numFmtId="0" fontId="3" fillId="0" borderId="0" xfId="221" applyFont="1" applyFill="1" applyBorder="1" applyAlignment="1">
      <alignment horizontal="center"/>
      <protection/>
    </xf>
    <xf numFmtId="0" fontId="4" fillId="0" borderId="0" xfId="221" applyFont="1" applyFill="1" applyAlignment="1">
      <alignment horizontal="center"/>
      <protection/>
    </xf>
    <xf numFmtId="0" fontId="5" fillId="0" borderId="0" xfId="221" applyFont="1" applyFill="1" applyAlignment="1">
      <alignment horizontal="center"/>
      <protection/>
    </xf>
    <xf numFmtId="0" fontId="6" fillId="0" borderId="0" xfId="221" applyFont="1" applyFill="1" applyBorder="1" applyAlignment="1">
      <alignment horizontal="center"/>
      <protection/>
    </xf>
    <xf numFmtId="4" fontId="6" fillId="0" borderId="0" xfId="221" applyNumberFormat="1" applyFont="1" applyFill="1" applyBorder="1" applyAlignment="1">
      <alignment horizontal="center"/>
      <protection/>
    </xf>
    <xf numFmtId="3" fontId="6" fillId="0" borderId="0" xfId="221" applyNumberFormat="1" applyFont="1" applyFill="1" applyBorder="1" applyAlignment="1">
      <alignment horizontal="center"/>
      <protection/>
    </xf>
    <xf numFmtId="0" fontId="6" fillId="0" borderId="0" xfId="221" applyFont="1" applyFill="1" applyBorder="1" applyAlignment="1">
      <alignment horizontal="center" vertical="center"/>
      <protection/>
    </xf>
    <xf numFmtId="0" fontId="6" fillId="0" borderId="0" xfId="221" applyFont="1" applyFill="1" applyBorder="1" applyAlignment="1">
      <alignment/>
      <protection/>
    </xf>
    <xf numFmtId="4" fontId="7" fillId="0" borderId="0" xfId="221" applyNumberFormat="1" applyFont="1" applyFill="1" applyBorder="1" applyAlignment="1">
      <alignment horizontal="center"/>
      <protection/>
    </xf>
    <xf numFmtId="0" fontId="7" fillId="0" borderId="0" xfId="221" applyFont="1" applyFill="1" applyAlignment="1">
      <alignment horizontal="center"/>
      <protection/>
    </xf>
    <xf numFmtId="0" fontId="8" fillId="0" borderId="0" xfId="221" applyFont="1" applyFill="1" applyAlignment="1">
      <alignment horizontal="center"/>
      <protection/>
    </xf>
    <xf numFmtId="4" fontId="9" fillId="41" borderId="19" xfId="221" applyNumberFormat="1" applyFont="1" applyFill="1" applyBorder="1" applyAlignment="1">
      <alignment horizontal="center"/>
      <protection/>
    </xf>
    <xf numFmtId="0" fontId="11" fillId="0" borderId="0" xfId="221" applyFont="1" applyFill="1" applyAlignment="1">
      <alignment horizontal="center"/>
      <protection/>
    </xf>
    <xf numFmtId="4" fontId="9" fillId="41" borderId="20" xfId="221" applyNumberFormat="1" applyFont="1" applyFill="1" applyBorder="1" applyAlignment="1">
      <alignment horizontal="center"/>
      <protection/>
    </xf>
    <xf numFmtId="4" fontId="9" fillId="55" borderId="19" xfId="221" applyNumberFormat="1" applyFont="1" applyFill="1" applyBorder="1" applyAlignment="1">
      <alignment horizontal="center" vertical="center"/>
      <protection/>
    </xf>
    <xf numFmtId="4" fontId="9" fillId="36" borderId="19" xfId="221" applyNumberFormat="1" applyFont="1" applyFill="1" applyBorder="1" applyAlignment="1">
      <alignment horizontal="center" vertical="center"/>
      <protection/>
    </xf>
    <xf numFmtId="3" fontId="9" fillId="4" borderId="19" xfId="221" applyNumberFormat="1" applyFont="1" applyFill="1" applyBorder="1" applyAlignment="1">
      <alignment horizontal="center"/>
      <protection/>
    </xf>
    <xf numFmtId="4" fontId="9" fillId="4" borderId="19" xfId="221" applyNumberFormat="1" applyFont="1" applyFill="1" applyBorder="1" applyAlignment="1">
      <alignment horizontal="center"/>
      <protection/>
    </xf>
    <xf numFmtId="0" fontId="9" fillId="4" borderId="19" xfId="221" applyFont="1" applyFill="1" applyBorder="1" applyAlignment="1">
      <alignment horizontal="center"/>
      <protection/>
    </xf>
    <xf numFmtId="0" fontId="9" fillId="4" borderId="19" xfId="221" applyFont="1" applyFill="1" applyBorder="1" applyAlignment="1">
      <alignment horizontal="center" vertical="center"/>
      <protection/>
    </xf>
    <xf numFmtId="0" fontId="9" fillId="3" borderId="19" xfId="221" applyFont="1" applyFill="1" applyBorder="1" applyAlignment="1">
      <alignment horizontal="center"/>
      <protection/>
    </xf>
    <xf numFmtId="4" fontId="9" fillId="55" borderId="19" xfId="221" applyNumberFormat="1" applyFont="1" applyFill="1" applyBorder="1" applyAlignment="1">
      <alignment horizontal="center"/>
      <protection/>
    </xf>
    <xf numFmtId="0" fontId="9" fillId="55" borderId="19" xfId="221" applyFont="1" applyFill="1" applyBorder="1" applyAlignment="1">
      <alignment horizontal="center"/>
      <protection/>
    </xf>
    <xf numFmtId="4" fontId="9" fillId="55" borderId="21" xfId="221" applyNumberFormat="1" applyFont="1" applyFill="1" applyBorder="1" applyAlignment="1">
      <alignment horizontal="center" vertical="center"/>
      <protection/>
    </xf>
    <xf numFmtId="4" fontId="9" fillId="36" borderId="21" xfId="221" applyNumberFormat="1" applyFont="1" applyFill="1" applyBorder="1" applyAlignment="1">
      <alignment horizontal="center" vertical="center"/>
      <protection/>
    </xf>
    <xf numFmtId="3" fontId="9" fillId="4" borderId="21" xfId="221" applyNumberFormat="1" applyFont="1" applyFill="1" applyBorder="1" applyAlignment="1">
      <alignment horizontal="center"/>
      <protection/>
    </xf>
    <xf numFmtId="4" fontId="9" fillId="4" borderId="21" xfId="221" applyNumberFormat="1" applyFont="1" applyFill="1" applyBorder="1" applyAlignment="1">
      <alignment horizontal="center"/>
      <protection/>
    </xf>
    <xf numFmtId="0" fontId="9" fillId="4" borderId="21" xfId="221" applyFont="1" applyFill="1" applyBorder="1" applyAlignment="1">
      <alignment horizontal="center"/>
      <protection/>
    </xf>
    <xf numFmtId="0" fontId="9" fillId="4" borderId="21" xfId="221" applyFont="1" applyFill="1" applyBorder="1" applyAlignment="1">
      <alignment horizontal="center" vertical="center"/>
      <protection/>
    </xf>
    <xf numFmtId="0" fontId="9" fillId="3" borderId="21" xfId="221" applyFont="1" applyFill="1" applyBorder="1" applyAlignment="1">
      <alignment horizontal="center"/>
      <protection/>
    </xf>
    <xf numFmtId="4" fontId="9" fillId="3" borderId="21" xfId="221" applyNumberFormat="1" applyFont="1" applyFill="1" applyBorder="1" applyAlignment="1">
      <alignment horizontal="center"/>
      <protection/>
    </xf>
    <xf numFmtId="4" fontId="9" fillId="55" borderId="21" xfId="221" applyNumberFormat="1" applyFont="1" applyFill="1" applyBorder="1" applyAlignment="1">
      <alignment horizontal="center"/>
      <protection/>
    </xf>
    <xf numFmtId="4" fontId="9" fillId="41" borderId="21" xfId="221" applyNumberFormat="1" applyFont="1" applyFill="1" applyBorder="1" applyAlignment="1">
      <alignment horizontal="center"/>
      <protection/>
    </xf>
    <xf numFmtId="0" fontId="13" fillId="7" borderId="22" xfId="221" applyFont="1" applyFill="1" applyBorder="1" applyAlignment="1">
      <alignment horizontal="left" vertical="center"/>
      <protection/>
    </xf>
    <xf numFmtId="0" fontId="14" fillId="7" borderId="22" xfId="221" applyFont="1" applyFill="1" applyBorder="1" applyAlignment="1">
      <alignment horizontal="center" vertical="center" wrapText="1"/>
      <protection/>
    </xf>
    <xf numFmtId="0" fontId="14" fillId="7" borderId="22" xfId="221" applyFont="1" applyFill="1" applyBorder="1" applyAlignment="1">
      <alignment horizontal="center" vertical="center"/>
      <protection/>
    </xf>
    <xf numFmtId="2" fontId="11" fillId="27" borderId="22" xfId="221" applyNumberFormat="1" applyFont="1" applyFill="1" applyBorder="1" applyAlignment="1">
      <alignment horizontal="center"/>
      <protection/>
    </xf>
    <xf numFmtId="4" fontId="14" fillId="7" borderId="22" xfId="221" applyNumberFormat="1" applyFont="1" applyFill="1" applyBorder="1" applyAlignment="1">
      <alignment horizontal="center" vertical="center"/>
      <protection/>
    </xf>
    <xf numFmtId="3" fontId="14" fillId="7" borderId="22" xfId="221" applyNumberFormat="1" applyFont="1" applyFill="1" applyBorder="1" applyAlignment="1">
      <alignment horizontal="center"/>
      <protection/>
    </xf>
    <xf numFmtId="4" fontId="14" fillId="7" borderId="22" xfId="221" applyNumberFormat="1" applyFont="1" applyFill="1" applyBorder="1" applyAlignment="1">
      <alignment horizontal="center"/>
      <protection/>
    </xf>
    <xf numFmtId="0" fontId="14" fillId="7" borderId="22" xfId="221" applyFont="1" applyFill="1" applyBorder="1" applyAlignment="1">
      <alignment horizontal="center"/>
      <protection/>
    </xf>
    <xf numFmtId="199" fontId="14" fillId="7" borderId="22" xfId="101" applyNumberFormat="1" applyFont="1" applyFill="1" applyBorder="1" applyAlignment="1">
      <alignment horizontal="center" vertical="center"/>
    </xf>
    <xf numFmtId="2" fontId="14" fillId="7" borderId="22" xfId="221" applyNumberFormat="1" applyFont="1" applyFill="1" applyBorder="1" applyAlignment="1">
      <alignment horizontal="center"/>
      <protection/>
    </xf>
    <xf numFmtId="1" fontId="14" fillId="7" borderId="22" xfId="221" applyNumberFormat="1" applyFont="1" applyFill="1" applyBorder="1" applyAlignment="1">
      <alignment horizontal="center"/>
      <protection/>
    </xf>
    <xf numFmtId="199" fontId="14" fillId="7" borderId="22" xfId="101" applyNumberFormat="1" applyFont="1" applyFill="1" applyBorder="1" applyAlignment="1">
      <alignment horizontal="center"/>
    </xf>
    <xf numFmtId="2" fontId="15" fillId="7" borderId="22" xfId="221" applyNumberFormat="1" applyFont="1" applyFill="1" applyBorder="1" applyAlignment="1" applyProtection="1">
      <alignment horizontal="center"/>
      <protection locked="0"/>
    </xf>
    <xf numFmtId="0" fontId="14" fillId="7" borderId="23" xfId="221" applyFont="1" applyFill="1" applyBorder="1" applyAlignment="1">
      <alignment horizontal="center" vertical="center"/>
      <protection/>
    </xf>
    <xf numFmtId="2" fontId="14" fillId="0" borderId="0" xfId="221" applyNumberFormat="1" applyFont="1" applyFill="1" applyAlignment="1">
      <alignment horizontal="center"/>
      <protection/>
    </xf>
    <xf numFmtId="2" fontId="16" fillId="0" borderId="0" xfId="221" applyNumberFormat="1" applyFont="1" applyFill="1" applyAlignment="1">
      <alignment horizontal="center"/>
      <protection/>
    </xf>
    <xf numFmtId="0" fontId="16" fillId="0" borderId="0" xfId="221" applyFont="1" applyFill="1" applyAlignment="1">
      <alignment horizontal="center"/>
      <protection/>
    </xf>
    <xf numFmtId="0" fontId="14" fillId="0" borderId="0" xfId="221" applyFont="1" applyFill="1" applyAlignment="1">
      <alignment horizontal="center"/>
      <protection/>
    </xf>
    <xf numFmtId="0" fontId="13" fillId="2" borderId="22" xfId="221" applyFont="1" applyFill="1" applyBorder="1" applyAlignment="1">
      <alignment horizontal="left" vertical="center"/>
      <protection/>
    </xf>
    <xf numFmtId="0" fontId="14" fillId="2" borderId="22" xfId="221" applyFont="1" applyFill="1" applyBorder="1" applyAlignment="1">
      <alignment horizontal="center" vertical="center" wrapText="1"/>
      <protection/>
    </xf>
    <xf numFmtId="0" fontId="14" fillId="2" borderId="22" xfId="221" applyFont="1" applyFill="1" applyBorder="1" applyAlignment="1">
      <alignment horizontal="center" vertical="center"/>
      <protection/>
    </xf>
    <xf numFmtId="2" fontId="17" fillId="5" borderId="22" xfId="221" applyNumberFormat="1" applyFont="1" applyFill="1" applyBorder="1" applyAlignment="1">
      <alignment horizontal="center"/>
      <protection/>
    </xf>
    <xf numFmtId="4" fontId="14" fillId="2" borderId="22" xfId="221" applyNumberFormat="1" applyFont="1" applyFill="1" applyBorder="1" applyAlignment="1">
      <alignment horizontal="center" vertical="center"/>
      <protection/>
    </xf>
    <xf numFmtId="3" fontId="14" fillId="2" borderId="22" xfId="221" applyNumberFormat="1" applyFont="1" applyFill="1" applyBorder="1" applyAlignment="1">
      <alignment horizontal="center"/>
      <protection/>
    </xf>
    <xf numFmtId="4" fontId="14" fillId="2" borderId="22" xfId="221" applyNumberFormat="1" applyFont="1" applyFill="1" applyBorder="1" applyAlignment="1">
      <alignment horizontal="center"/>
      <protection/>
    </xf>
    <xf numFmtId="0" fontId="14" fillId="2" borderId="22" xfId="221" applyFont="1" applyFill="1" applyBorder="1" applyAlignment="1">
      <alignment horizontal="center"/>
      <protection/>
    </xf>
    <xf numFmtId="199" fontId="14" fillId="2" borderId="22" xfId="101" applyNumberFormat="1" applyFont="1" applyFill="1" applyBorder="1" applyAlignment="1">
      <alignment horizontal="center" vertical="center"/>
    </xf>
    <xf numFmtId="2" fontId="14" fillId="2" borderId="22" xfId="221" applyNumberFormat="1" applyFont="1" applyFill="1" applyBorder="1" applyAlignment="1">
      <alignment horizontal="center"/>
      <protection/>
    </xf>
    <xf numFmtId="1" fontId="14" fillId="2" borderId="22" xfId="221" applyNumberFormat="1" applyFont="1" applyFill="1" applyBorder="1" applyAlignment="1">
      <alignment horizontal="center"/>
      <protection/>
    </xf>
    <xf numFmtId="199" fontId="14" fillId="2" borderId="22" xfId="101" applyNumberFormat="1" applyFont="1" applyFill="1" applyBorder="1" applyAlignment="1">
      <alignment horizontal="center"/>
    </xf>
    <xf numFmtId="2" fontId="15" fillId="2" borderId="22" xfId="221" applyNumberFormat="1" applyFont="1" applyFill="1" applyBorder="1" applyAlignment="1" applyProtection="1">
      <alignment horizontal="center"/>
      <protection locked="0"/>
    </xf>
    <xf numFmtId="0" fontId="14" fillId="17" borderId="23" xfId="221" applyFont="1" applyFill="1" applyBorder="1" applyAlignment="1">
      <alignment horizontal="center" vertical="center"/>
      <protection/>
    </xf>
    <xf numFmtId="0" fontId="18" fillId="0" borderId="0" xfId="221" applyFont="1" applyFill="1" applyAlignment="1">
      <alignment horizontal="center"/>
      <protection/>
    </xf>
    <xf numFmtId="0" fontId="3" fillId="3" borderId="24" xfId="221" applyFont="1" applyFill="1" applyBorder="1" applyAlignment="1">
      <alignment horizontal="center" vertical="center"/>
      <protection/>
    </xf>
    <xf numFmtId="0" fontId="3" fillId="3" borderId="25" xfId="221" applyFont="1" applyFill="1" applyBorder="1" applyAlignment="1">
      <alignment horizontal="center" vertical="center"/>
      <protection/>
    </xf>
    <xf numFmtId="0" fontId="11" fillId="3" borderId="22" xfId="221" applyFont="1" applyFill="1" applyBorder="1" applyAlignment="1">
      <alignment horizontal="center" vertical="center"/>
      <protection/>
    </xf>
    <xf numFmtId="2" fontId="11" fillId="3" borderId="22" xfId="221" applyNumberFormat="1" applyFont="1" applyFill="1" applyBorder="1" applyAlignment="1">
      <alignment horizontal="center"/>
      <protection/>
    </xf>
    <xf numFmtId="4" fontId="11" fillId="3" borderId="22" xfId="221" applyNumberFormat="1" applyFont="1" applyFill="1" applyBorder="1" applyAlignment="1">
      <alignment horizontal="center" vertical="center"/>
      <protection/>
    </xf>
    <xf numFmtId="3" fontId="11" fillId="3" borderId="22" xfId="221" applyNumberFormat="1" applyFont="1" applyFill="1" applyBorder="1" applyAlignment="1">
      <alignment horizontal="center"/>
      <protection/>
    </xf>
    <xf numFmtId="4" fontId="11" fillId="3" borderId="22" xfId="221" applyNumberFormat="1" applyFont="1" applyFill="1" applyBorder="1" applyAlignment="1">
      <alignment horizontal="center"/>
      <protection/>
    </xf>
    <xf numFmtId="0" fontId="11" fillId="3" borderId="22" xfId="221" applyFont="1" applyFill="1" applyBorder="1" applyAlignment="1">
      <alignment horizontal="center"/>
      <protection/>
    </xf>
    <xf numFmtId="199" fontId="11" fillId="3" borderId="22" xfId="101" applyNumberFormat="1" applyFont="1" applyFill="1" applyBorder="1" applyAlignment="1">
      <alignment horizontal="center" vertical="center"/>
    </xf>
    <xf numFmtId="2" fontId="14" fillId="3" borderId="22" xfId="221" applyNumberFormat="1" applyFont="1" applyFill="1" applyBorder="1" applyAlignment="1">
      <alignment horizontal="center"/>
      <protection/>
    </xf>
    <xf numFmtId="200" fontId="14" fillId="3" borderId="22" xfId="221" applyNumberFormat="1" applyFont="1" applyFill="1" applyBorder="1" applyAlignment="1">
      <alignment horizontal="center"/>
      <protection/>
    </xf>
    <xf numFmtId="199" fontId="11" fillId="3" borderId="22" xfId="101" applyNumberFormat="1" applyFont="1" applyFill="1" applyBorder="1" applyAlignment="1">
      <alignment horizontal="center"/>
    </xf>
    <xf numFmtId="1" fontId="14" fillId="3" borderId="22" xfId="221" applyNumberFormat="1" applyFont="1" applyFill="1" applyBorder="1" applyAlignment="1">
      <alignment horizontal="center"/>
      <protection/>
    </xf>
    <xf numFmtId="0" fontId="14" fillId="3" borderId="22" xfId="221" applyFont="1" applyFill="1" applyBorder="1" applyAlignment="1">
      <alignment horizontal="center"/>
      <protection/>
    </xf>
    <xf numFmtId="2" fontId="15" fillId="3" borderId="22" xfId="221" applyNumberFormat="1" applyFont="1" applyFill="1" applyBorder="1" applyAlignment="1" applyProtection="1">
      <alignment horizontal="center"/>
      <protection locked="0"/>
    </xf>
    <xf numFmtId="0" fontId="11" fillId="0" borderId="23" xfId="221" applyFont="1" applyFill="1" applyBorder="1" applyAlignment="1">
      <alignment horizontal="center" vertical="center"/>
      <protection/>
    </xf>
    <xf numFmtId="2" fontId="11" fillId="0" borderId="0" xfId="221" applyNumberFormat="1" applyFont="1" applyFill="1" applyAlignment="1">
      <alignment horizontal="center"/>
      <protection/>
    </xf>
    <xf numFmtId="0" fontId="11" fillId="0" borderId="26" xfId="221" applyFont="1" applyFill="1" applyBorder="1" applyAlignment="1">
      <alignment horizontal="center"/>
      <protection/>
    </xf>
    <xf numFmtId="0" fontId="20" fillId="0" borderId="22" xfId="221" applyFont="1" applyFill="1" applyBorder="1" applyAlignment="1">
      <alignment horizontal="left" vertical="center"/>
      <protection/>
    </xf>
    <xf numFmtId="0" fontId="21" fillId="0" borderId="22" xfId="221" applyFont="1" applyFill="1" applyBorder="1" applyAlignment="1">
      <alignment horizontal="center" vertical="center"/>
      <protection/>
    </xf>
    <xf numFmtId="4" fontId="7" fillId="0" borderId="22" xfId="221" applyNumberFormat="1" applyFont="1" applyFill="1" applyBorder="1" applyAlignment="1" applyProtection="1">
      <alignment horizontal="center" vertical="center"/>
      <protection locked="0"/>
    </xf>
    <xf numFmtId="1" fontId="21" fillId="56" borderId="22" xfId="221" applyNumberFormat="1" applyFont="1" applyFill="1" applyBorder="1" applyAlignment="1" applyProtection="1">
      <alignment horizontal="center" vertical="center"/>
      <protection locked="0"/>
    </xf>
    <xf numFmtId="2" fontId="21" fillId="56" borderId="22" xfId="221" applyNumberFormat="1" applyFont="1" applyFill="1" applyBorder="1" applyAlignment="1" applyProtection="1">
      <alignment horizontal="center" vertical="center"/>
      <protection locked="0"/>
    </xf>
    <xf numFmtId="2" fontId="21" fillId="0" borderId="22" xfId="221" applyNumberFormat="1" applyFont="1" applyFill="1" applyBorder="1" applyAlignment="1" applyProtection="1">
      <alignment horizontal="center" vertical="center"/>
      <protection locked="0"/>
    </xf>
    <xf numFmtId="2" fontId="21" fillId="4" borderId="22" xfId="101" applyNumberFormat="1" applyFont="1" applyFill="1" applyBorder="1" applyAlignment="1" applyProtection="1">
      <alignment horizontal="center" vertical="center"/>
      <protection locked="0"/>
    </xf>
    <xf numFmtId="1" fontId="21" fillId="4" borderId="22" xfId="221" applyNumberFormat="1" applyFont="1" applyFill="1" applyBorder="1" applyAlignment="1" applyProtection="1">
      <alignment horizontal="center" vertical="center"/>
      <protection locked="0"/>
    </xf>
    <xf numFmtId="2" fontId="21" fillId="0" borderId="22" xfId="101" applyNumberFormat="1" applyFont="1" applyFill="1" applyBorder="1" applyAlignment="1" applyProtection="1">
      <alignment horizontal="center" vertical="center"/>
      <protection locked="0"/>
    </xf>
    <xf numFmtId="2" fontId="21" fillId="41" borderId="22" xfId="221" applyNumberFormat="1" applyFont="1" applyFill="1" applyBorder="1" applyAlignment="1" applyProtection="1">
      <alignment horizontal="center" vertical="center"/>
      <protection locked="0"/>
    </xf>
    <xf numFmtId="1" fontId="21" fillId="41" borderId="22" xfId="221" applyNumberFormat="1" applyFont="1" applyFill="1" applyBorder="1" applyAlignment="1" applyProtection="1">
      <alignment horizontal="center" vertical="center"/>
      <protection locked="0"/>
    </xf>
    <xf numFmtId="4" fontId="22" fillId="2" borderId="22" xfId="221" applyNumberFormat="1" applyFont="1" applyFill="1" applyBorder="1" applyAlignment="1">
      <alignment horizontal="center" vertical="center"/>
      <protection/>
    </xf>
    <xf numFmtId="4" fontId="23" fillId="0" borderId="22" xfId="221" applyNumberFormat="1" applyFont="1" applyFill="1" applyBorder="1" applyAlignment="1" applyProtection="1">
      <alignment horizontal="center" vertical="center"/>
      <protection locked="0"/>
    </xf>
    <xf numFmtId="0" fontId="21" fillId="0" borderId="27" xfId="221" applyFont="1" applyFill="1" applyBorder="1" applyAlignment="1">
      <alignment horizontal="center"/>
      <protection/>
    </xf>
    <xf numFmtId="0" fontId="21" fillId="0" borderId="0" xfId="221" applyFont="1" applyFill="1" applyAlignment="1">
      <alignment horizontal="center"/>
      <protection/>
    </xf>
    <xf numFmtId="0" fontId="21" fillId="0" borderId="0" xfId="221" applyFont="1" applyFill="1" applyBorder="1" applyAlignment="1">
      <alignment horizontal="center"/>
      <protection/>
    </xf>
    <xf numFmtId="0" fontId="21" fillId="0" borderId="28" xfId="221" applyFont="1" applyFill="1" applyBorder="1" applyAlignment="1">
      <alignment horizontal="center"/>
      <protection/>
    </xf>
    <xf numFmtId="0" fontId="21" fillId="0" borderId="29" xfId="221" applyFont="1" applyFill="1" applyBorder="1" applyAlignment="1">
      <alignment horizontal="center"/>
      <protection/>
    </xf>
    <xf numFmtId="4" fontId="21" fillId="0" borderId="0" xfId="221" applyNumberFormat="1" applyFont="1" applyFill="1" applyAlignment="1">
      <alignment horizontal="center"/>
      <protection/>
    </xf>
    <xf numFmtId="0" fontId="21" fillId="0" borderId="30" xfId="221" applyFont="1" applyFill="1" applyBorder="1" applyAlignment="1">
      <alignment horizontal="left"/>
      <protection/>
    </xf>
    <xf numFmtId="0" fontId="21" fillId="0" borderId="0" xfId="221" applyFont="1" applyFill="1" applyBorder="1" applyAlignment="1">
      <alignment horizontal="left"/>
      <protection/>
    </xf>
    <xf numFmtId="3" fontId="21" fillId="0" borderId="0" xfId="221" applyNumberFormat="1" applyFont="1" applyFill="1" applyBorder="1" applyAlignment="1">
      <alignment horizontal="center"/>
      <protection/>
    </xf>
    <xf numFmtId="0" fontId="22" fillId="0" borderId="31" xfId="221" applyFont="1" applyFill="1" applyBorder="1" applyAlignment="1">
      <alignment horizontal="center"/>
      <protection/>
    </xf>
    <xf numFmtId="0" fontId="22" fillId="0" borderId="32" xfId="221" applyFont="1" applyFill="1" applyBorder="1" applyAlignment="1">
      <alignment horizontal="center"/>
      <protection/>
    </xf>
    <xf numFmtId="0" fontId="22" fillId="0" borderId="0" xfId="221" applyFont="1" applyFill="1" applyAlignment="1">
      <alignment horizontal="center"/>
      <protection/>
    </xf>
    <xf numFmtId="0" fontId="22" fillId="55" borderId="30" xfId="221" applyFont="1" applyFill="1" applyBorder="1" applyAlignment="1">
      <alignment horizontal="left" vertical="center"/>
      <protection/>
    </xf>
    <xf numFmtId="0" fontId="22" fillId="55" borderId="0" xfId="221" applyFont="1" applyFill="1" applyBorder="1" applyAlignment="1">
      <alignment horizontal="left" vertical="center"/>
      <protection/>
    </xf>
    <xf numFmtId="4" fontId="22" fillId="55" borderId="0" xfId="221" applyNumberFormat="1" applyFont="1" applyFill="1" applyBorder="1" applyAlignment="1">
      <alignment horizontal="center"/>
      <protection/>
    </xf>
    <xf numFmtId="0" fontId="22" fillId="55" borderId="28" xfId="221" applyFont="1" applyFill="1" applyBorder="1" applyAlignment="1">
      <alignment horizontal="center"/>
      <protection/>
    </xf>
    <xf numFmtId="0" fontId="20" fillId="56" borderId="22" xfId="221" applyFont="1" applyFill="1" applyBorder="1" applyAlignment="1">
      <alignment horizontal="left" vertical="center"/>
      <protection/>
    </xf>
    <xf numFmtId="0" fontId="21" fillId="56" borderId="22" xfId="221" applyFont="1" applyFill="1" applyBorder="1" applyAlignment="1">
      <alignment horizontal="center" vertical="center"/>
      <protection/>
    </xf>
    <xf numFmtId="4" fontId="26" fillId="56" borderId="33" xfId="230" applyNumberFormat="1" applyFont="1" applyFill="1" applyBorder="1" applyAlignment="1" applyProtection="1">
      <alignment horizontal="center" vertical="top"/>
      <protection locked="0"/>
    </xf>
    <xf numFmtId="2" fontId="21" fillId="56" borderId="22" xfId="101" applyNumberFormat="1" applyFont="1" applyFill="1" applyBorder="1" applyAlignment="1" applyProtection="1">
      <alignment horizontal="center" vertical="center"/>
      <protection locked="0"/>
    </xf>
    <xf numFmtId="2" fontId="27" fillId="16" borderId="22" xfId="101" applyNumberFormat="1" applyFont="1" applyFill="1" applyBorder="1" applyAlignment="1" applyProtection="1">
      <alignment horizontal="center" vertical="center"/>
      <protection locked="0"/>
    </xf>
    <xf numFmtId="1" fontId="27" fillId="16" borderId="22" xfId="221" applyNumberFormat="1" applyFont="1" applyFill="1" applyBorder="1" applyAlignment="1" applyProtection="1">
      <alignment horizontal="center" vertical="center"/>
      <protection locked="0"/>
    </xf>
    <xf numFmtId="1" fontId="21" fillId="0" borderId="22" xfId="221" applyNumberFormat="1" applyFont="1" applyFill="1" applyBorder="1" applyAlignment="1" applyProtection="1">
      <alignment horizontal="center" vertical="center"/>
      <protection locked="0"/>
    </xf>
    <xf numFmtId="3" fontId="7" fillId="56" borderId="33" xfId="0" applyNumberFormat="1" applyFont="1" applyFill="1" applyBorder="1" applyAlignment="1" applyProtection="1">
      <alignment horizontal="center" vertical="center"/>
      <protection locked="0"/>
    </xf>
    <xf numFmtId="4" fontId="7" fillId="56" borderId="33" xfId="0" applyNumberFormat="1" applyFont="1" applyFill="1" applyBorder="1" applyAlignment="1" applyProtection="1">
      <alignment horizontal="center" vertical="top"/>
      <protection locked="0"/>
    </xf>
    <xf numFmtId="4" fontId="28" fillId="5" borderId="22" xfId="221" applyNumberFormat="1" applyFont="1" applyFill="1" applyBorder="1" applyAlignment="1">
      <alignment horizontal="center" vertical="center"/>
      <protection/>
    </xf>
    <xf numFmtId="4" fontId="23" fillId="56" borderId="22" xfId="221" applyNumberFormat="1" applyFont="1" applyFill="1" applyBorder="1" applyAlignment="1" applyProtection="1">
      <alignment horizontal="center" vertical="center"/>
      <protection locked="0"/>
    </xf>
    <xf numFmtId="0" fontId="21" fillId="56" borderId="27" xfId="221" applyFont="1" applyFill="1" applyBorder="1" applyAlignment="1">
      <alignment horizontal="center"/>
      <protection/>
    </xf>
    <xf numFmtId="0" fontId="21" fillId="56" borderId="0" xfId="221" applyFont="1" applyFill="1" applyAlignment="1">
      <alignment horizontal="center"/>
      <protection/>
    </xf>
    <xf numFmtId="0" fontId="21" fillId="56" borderId="30" xfId="221" applyFont="1" applyFill="1" applyBorder="1" applyAlignment="1">
      <alignment horizontal="center"/>
      <protection/>
    </xf>
    <xf numFmtId="0" fontId="21" fillId="56" borderId="0" xfId="221" applyFont="1" applyFill="1" applyBorder="1" applyAlignment="1">
      <alignment horizontal="center"/>
      <protection/>
    </xf>
    <xf numFmtId="0" fontId="21" fillId="56" borderId="28" xfId="221" applyFont="1" applyFill="1" applyBorder="1" applyAlignment="1">
      <alignment horizontal="center"/>
      <protection/>
    </xf>
    <xf numFmtId="4" fontId="7" fillId="56" borderId="20" xfId="0" applyNumberFormat="1" applyFont="1" applyFill="1" applyBorder="1" applyAlignment="1" applyProtection="1">
      <alignment horizontal="center" vertical="top"/>
      <protection locked="0"/>
    </xf>
    <xf numFmtId="4" fontId="21" fillId="56" borderId="0" xfId="221" applyNumberFormat="1" applyFont="1" applyFill="1" applyAlignment="1">
      <alignment horizontal="center"/>
      <protection/>
    </xf>
    <xf numFmtId="2" fontId="22" fillId="0" borderId="22" xfId="221" applyNumberFormat="1" applyFont="1" applyFill="1" applyBorder="1" applyAlignment="1" applyProtection="1">
      <alignment horizontal="center" vertical="center"/>
      <protection locked="0"/>
    </xf>
    <xf numFmtId="4" fontId="7" fillId="56" borderId="22" xfId="0" applyNumberFormat="1" applyFont="1" applyFill="1" applyBorder="1" applyAlignment="1" applyProtection="1">
      <alignment horizontal="center" vertical="top"/>
      <protection locked="0"/>
    </xf>
    <xf numFmtId="4" fontId="26" fillId="56" borderId="33" xfId="222" applyNumberFormat="1" applyFont="1" applyFill="1" applyBorder="1" applyAlignment="1" applyProtection="1">
      <alignment horizontal="center" vertical="top"/>
      <protection locked="0"/>
    </xf>
    <xf numFmtId="2" fontId="21" fillId="4" borderId="22" xfId="221" applyNumberFormat="1" applyFont="1" applyFill="1" applyBorder="1" applyAlignment="1" applyProtection="1">
      <alignment horizontal="center" vertical="center"/>
      <protection locked="0"/>
    </xf>
    <xf numFmtId="43" fontId="21" fillId="0" borderId="0" xfId="101" applyFont="1" applyFill="1" applyAlignment="1">
      <alignment horizontal="center"/>
    </xf>
    <xf numFmtId="0" fontId="21" fillId="0" borderId="0" xfId="221" applyNumberFormat="1" applyFont="1" applyFill="1" applyBorder="1" applyAlignment="1">
      <alignment horizontal="center"/>
      <protection/>
    </xf>
    <xf numFmtId="0" fontId="21" fillId="0" borderId="31" xfId="221" applyFont="1" applyFill="1" applyBorder="1" applyAlignment="1">
      <alignment horizontal="center"/>
      <protection/>
    </xf>
    <xf numFmtId="0" fontId="21" fillId="0" borderId="32" xfId="221" applyFont="1" applyFill="1" applyBorder="1" applyAlignment="1">
      <alignment horizontal="center"/>
      <protection/>
    </xf>
    <xf numFmtId="0" fontId="21" fillId="55" borderId="22" xfId="221" applyFont="1" applyFill="1" applyBorder="1" applyAlignment="1">
      <alignment horizontal="center" vertical="center"/>
      <protection/>
    </xf>
    <xf numFmtId="2" fontId="21" fillId="55" borderId="22" xfId="101" applyNumberFormat="1" applyFont="1" applyFill="1" applyBorder="1" applyAlignment="1" applyProtection="1">
      <alignment horizontal="center" vertical="center"/>
      <protection locked="0"/>
    </xf>
    <xf numFmtId="2" fontId="22" fillId="41" borderId="22" xfId="221" applyNumberFormat="1" applyFont="1" applyFill="1" applyBorder="1" applyAlignment="1" applyProtection="1">
      <alignment horizontal="center" vertical="center"/>
      <protection locked="0"/>
    </xf>
    <xf numFmtId="2" fontId="21" fillId="55" borderId="22" xfId="221" applyNumberFormat="1" applyFont="1" applyFill="1" applyBorder="1" applyAlignment="1" applyProtection="1">
      <alignment horizontal="center" vertical="center"/>
      <protection locked="0"/>
    </xf>
    <xf numFmtId="4" fontId="23" fillId="55" borderId="22" xfId="221" applyNumberFormat="1" applyFont="1" applyFill="1" applyBorder="1" applyAlignment="1" applyProtection="1">
      <alignment horizontal="center" vertical="center"/>
      <protection locked="0"/>
    </xf>
    <xf numFmtId="0" fontId="22" fillId="55" borderId="29" xfId="221" applyFont="1" applyFill="1" applyBorder="1" applyAlignment="1">
      <alignment horizontal="left" vertical="center"/>
      <protection/>
    </xf>
    <xf numFmtId="0" fontId="22" fillId="55" borderId="31" xfId="221" applyFont="1" applyFill="1" applyBorder="1" applyAlignment="1">
      <alignment horizontal="left" vertical="center"/>
      <protection/>
    </xf>
    <xf numFmtId="4" fontId="22" fillId="55" borderId="31" xfId="221" applyNumberFormat="1" applyFont="1" applyFill="1" applyBorder="1" applyAlignment="1">
      <alignment horizontal="center"/>
      <protection/>
    </xf>
    <xf numFmtId="0" fontId="22" fillId="55" borderId="34" xfId="221" applyFont="1" applyFill="1" applyBorder="1" applyAlignment="1">
      <alignment horizontal="center"/>
      <protection/>
    </xf>
    <xf numFmtId="1" fontId="21" fillId="4" borderId="22" xfId="101" applyNumberFormat="1" applyFont="1" applyFill="1" applyBorder="1" applyAlignment="1" applyProtection="1">
      <alignment horizontal="center" vertical="center"/>
      <protection locked="0"/>
    </xf>
    <xf numFmtId="0" fontId="21" fillId="0" borderId="26" xfId="221" applyFont="1" applyFill="1" applyBorder="1" applyAlignment="1">
      <alignment horizontal="center"/>
      <protection/>
    </xf>
    <xf numFmtId="43" fontId="7" fillId="55" borderId="22" xfId="101" applyFont="1" applyFill="1" applyBorder="1" applyAlignment="1" applyProtection="1">
      <alignment horizontal="center" vertical="center"/>
      <protection locked="0"/>
    </xf>
    <xf numFmtId="0" fontId="21" fillId="0" borderId="35" xfId="221" applyFont="1" applyFill="1" applyBorder="1" applyAlignment="1">
      <alignment horizontal="center"/>
      <protection/>
    </xf>
    <xf numFmtId="0" fontId="21" fillId="0" borderId="30" xfId="221" applyFont="1" applyFill="1" applyBorder="1" applyAlignment="1">
      <alignment horizontal="center"/>
      <protection/>
    </xf>
    <xf numFmtId="1" fontId="21" fillId="0" borderId="0" xfId="221" applyNumberFormat="1" applyFont="1" applyFill="1" applyBorder="1" applyAlignment="1">
      <alignment horizontal="center"/>
      <protection/>
    </xf>
    <xf numFmtId="0" fontId="21" fillId="0" borderId="36" xfId="221" applyFont="1" applyFill="1" applyBorder="1" applyAlignment="1">
      <alignment horizontal="center"/>
      <protection/>
    </xf>
    <xf numFmtId="2" fontId="7" fillId="0" borderId="22" xfId="221" applyNumberFormat="1" applyFont="1" applyFill="1" applyBorder="1" applyAlignment="1" applyProtection="1">
      <alignment horizontal="center" vertical="center"/>
      <protection locked="0"/>
    </xf>
    <xf numFmtId="199" fontId="7" fillId="55" borderId="22" xfId="101" applyNumberFormat="1" applyFont="1" applyFill="1" applyBorder="1" applyAlignment="1" applyProtection="1">
      <alignment horizontal="center" vertical="center"/>
      <protection locked="0"/>
    </xf>
    <xf numFmtId="0" fontId="24" fillId="0" borderId="37" xfId="221" applyFont="1" applyFill="1" applyBorder="1" applyAlignment="1">
      <alignment horizontal="left"/>
      <protection/>
    </xf>
    <xf numFmtId="0" fontId="24" fillId="0" borderId="38" xfId="221" applyFont="1" applyFill="1" applyBorder="1" applyAlignment="1">
      <alignment horizontal="left"/>
      <protection/>
    </xf>
    <xf numFmtId="43" fontId="7" fillId="0" borderId="22" xfId="101" applyFont="1" applyFill="1" applyBorder="1" applyAlignment="1" applyProtection="1">
      <alignment horizontal="center" vertical="center"/>
      <protection locked="0"/>
    </xf>
    <xf numFmtId="199" fontId="7" fillId="0" borderId="22" xfId="101" applyNumberFormat="1" applyFont="1" applyFill="1" applyBorder="1" applyAlignment="1" applyProtection="1">
      <alignment horizontal="center" vertical="center"/>
      <protection locked="0"/>
    </xf>
    <xf numFmtId="0" fontId="21" fillId="56" borderId="36" xfId="221" applyFont="1" applyFill="1" applyBorder="1" applyAlignment="1">
      <alignment horizontal="center"/>
      <protection/>
    </xf>
    <xf numFmtId="2" fontId="7" fillId="56" borderId="22" xfId="101" applyNumberFormat="1" applyFont="1" applyFill="1" applyBorder="1" applyAlignment="1" applyProtection="1">
      <alignment horizontal="center" vertical="center"/>
      <protection locked="0"/>
    </xf>
    <xf numFmtId="2" fontId="7" fillId="0" borderId="22" xfId="101" applyNumberFormat="1" applyFont="1" applyFill="1" applyBorder="1" applyAlignment="1" applyProtection="1">
      <alignment horizontal="center" vertical="center"/>
      <protection locked="0"/>
    </xf>
    <xf numFmtId="4" fontId="21" fillId="0" borderId="0" xfId="221" applyNumberFormat="1" applyFont="1" applyFill="1" applyBorder="1" applyAlignment="1">
      <alignment horizontal="center"/>
      <protection/>
    </xf>
    <xf numFmtId="3" fontId="21" fillId="56" borderId="36" xfId="221" applyNumberFormat="1" applyFont="1" applyFill="1" applyBorder="1" applyAlignment="1">
      <alignment horizontal="center"/>
      <protection/>
    </xf>
    <xf numFmtId="2" fontId="21" fillId="41" borderId="22" xfId="101" applyNumberFormat="1" applyFont="1" applyFill="1" applyBorder="1" applyAlignment="1" applyProtection="1">
      <alignment horizontal="center" vertical="center"/>
      <protection locked="0"/>
    </xf>
    <xf numFmtId="2" fontId="21" fillId="0" borderId="0" xfId="221" applyNumberFormat="1" applyFont="1" applyFill="1" applyAlignment="1">
      <alignment horizontal="center"/>
      <protection/>
    </xf>
    <xf numFmtId="2" fontId="21" fillId="56" borderId="0" xfId="221" applyNumberFormat="1" applyFont="1" applyFill="1" applyAlignment="1">
      <alignment horizontal="center"/>
      <protection/>
    </xf>
    <xf numFmtId="0" fontId="21" fillId="0" borderId="0" xfId="221" applyFont="1" applyFill="1" applyBorder="1" applyAlignment="1">
      <alignment horizontal="center" vertical="center"/>
      <protection/>
    </xf>
    <xf numFmtId="2" fontId="21" fillId="0" borderId="29" xfId="221" applyNumberFormat="1" applyFont="1" applyFill="1" applyBorder="1" applyAlignment="1">
      <alignment horizontal="center" vertical="center"/>
      <protection/>
    </xf>
    <xf numFmtId="0" fontId="21" fillId="0" borderId="36" xfId="221" applyFont="1" applyFill="1" applyBorder="1" applyAlignment="1">
      <alignment horizontal="center" vertical="center"/>
      <protection/>
    </xf>
    <xf numFmtId="0" fontId="21" fillId="3" borderId="22" xfId="221" applyFont="1" applyFill="1" applyBorder="1" applyAlignment="1">
      <alignment horizontal="center" vertical="center"/>
      <protection/>
    </xf>
    <xf numFmtId="4" fontId="7" fillId="3" borderId="22" xfId="221" applyNumberFormat="1" applyFont="1" applyFill="1" applyBorder="1" applyAlignment="1">
      <alignment horizontal="center" vertical="center"/>
      <protection/>
    </xf>
    <xf numFmtId="1" fontId="21" fillId="3" borderId="22" xfId="221" applyNumberFormat="1" applyFont="1" applyFill="1" applyBorder="1" applyAlignment="1">
      <alignment horizontal="center" vertical="center"/>
      <protection/>
    </xf>
    <xf numFmtId="2" fontId="21" fillId="3" borderId="22" xfId="221" applyNumberFormat="1" applyFont="1" applyFill="1" applyBorder="1" applyAlignment="1">
      <alignment horizontal="center" vertical="center"/>
      <protection/>
    </xf>
    <xf numFmtId="2" fontId="21" fillId="3" borderId="22" xfId="101" applyNumberFormat="1" applyFont="1" applyFill="1" applyBorder="1" applyAlignment="1">
      <alignment horizontal="center" vertical="center"/>
    </xf>
    <xf numFmtId="2" fontId="29" fillId="3" borderId="22" xfId="221" applyNumberFormat="1" applyFont="1" applyFill="1" applyBorder="1" applyAlignment="1">
      <alignment horizontal="center" vertical="center"/>
      <protection/>
    </xf>
    <xf numFmtId="1" fontId="29" fillId="3" borderId="22" xfId="221" applyNumberFormat="1" applyFont="1" applyFill="1" applyBorder="1" applyAlignment="1">
      <alignment horizontal="center" vertical="center"/>
      <protection/>
    </xf>
    <xf numFmtId="3" fontId="29" fillId="3" borderId="22" xfId="221" applyNumberFormat="1" applyFont="1" applyFill="1" applyBorder="1" applyAlignment="1">
      <alignment horizontal="center" vertical="center"/>
      <protection/>
    </xf>
    <xf numFmtId="199" fontId="21" fillId="3" borderId="22" xfId="101" applyNumberFormat="1" applyFont="1" applyFill="1" applyBorder="1" applyAlignment="1">
      <alignment horizontal="center" vertical="center"/>
    </xf>
    <xf numFmtId="0" fontId="29" fillId="3" borderId="22" xfId="221" applyFont="1" applyFill="1" applyBorder="1" applyAlignment="1">
      <alignment horizontal="center" vertical="center"/>
      <protection/>
    </xf>
    <xf numFmtId="4" fontId="23" fillId="3" borderId="22" xfId="221" applyNumberFormat="1" applyFont="1" applyFill="1" applyBorder="1" applyAlignment="1" applyProtection="1">
      <alignment horizontal="center"/>
      <protection locked="0"/>
    </xf>
    <xf numFmtId="0" fontId="21" fillId="0" borderId="23" xfId="221" applyFont="1" applyFill="1" applyBorder="1" applyAlignment="1">
      <alignment horizontal="center" vertical="center"/>
      <protection/>
    </xf>
    <xf numFmtId="0" fontId="21" fillId="56" borderId="0" xfId="221" applyFont="1" applyFill="1" applyBorder="1" applyAlignment="1">
      <alignment horizontal="center" vertical="center"/>
      <protection/>
    </xf>
    <xf numFmtId="0" fontId="30" fillId="56" borderId="22" xfId="221" applyFont="1" applyFill="1" applyBorder="1" applyAlignment="1">
      <alignment horizontal="left" vertical="center"/>
      <protection/>
    </xf>
    <xf numFmtId="0" fontId="30" fillId="56" borderId="22" xfId="221" applyFont="1" applyFill="1" applyBorder="1" applyAlignment="1">
      <alignment horizontal="center" vertical="center"/>
      <protection/>
    </xf>
    <xf numFmtId="1" fontId="26" fillId="56" borderId="22" xfId="221" applyNumberFormat="1" applyFont="1" applyFill="1" applyBorder="1" applyAlignment="1" applyProtection="1">
      <alignment horizontal="center" vertical="center"/>
      <protection locked="0"/>
    </xf>
    <xf numFmtId="1" fontId="29" fillId="56" borderId="22" xfId="221" applyNumberFormat="1" applyFont="1" applyFill="1" applyBorder="1" applyAlignment="1" applyProtection="1">
      <alignment horizontal="center" vertical="center"/>
      <protection locked="0"/>
    </xf>
    <xf numFmtId="3" fontId="29" fillId="56" borderId="22" xfId="221" applyNumberFormat="1" applyFont="1" applyFill="1" applyBorder="1" applyAlignment="1" applyProtection="1">
      <alignment horizontal="center" vertical="center"/>
      <protection locked="0"/>
    </xf>
    <xf numFmtId="199" fontId="21" fillId="56" borderId="22" xfId="101" applyNumberFormat="1" applyFont="1" applyFill="1" applyBorder="1" applyAlignment="1" applyProtection="1">
      <alignment horizontal="center" vertical="center"/>
      <protection locked="0"/>
    </xf>
    <xf numFmtId="2" fontId="29" fillId="56" borderId="22" xfId="221" applyNumberFormat="1" applyFont="1" applyFill="1" applyBorder="1" applyAlignment="1" applyProtection="1">
      <alignment horizontal="center" vertical="center"/>
      <protection locked="0"/>
    </xf>
    <xf numFmtId="0" fontId="29" fillId="56" borderId="22" xfId="221" applyFont="1" applyFill="1" applyBorder="1" applyAlignment="1" applyProtection="1">
      <alignment horizontal="center" vertical="center"/>
      <protection locked="0"/>
    </xf>
    <xf numFmtId="2" fontId="29" fillId="56" borderId="22" xfId="221" applyNumberFormat="1" applyFont="1" applyFill="1" applyBorder="1" applyAlignment="1">
      <alignment horizontal="center" vertical="center"/>
      <protection/>
    </xf>
    <xf numFmtId="4" fontId="23" fillId="56" borderId="22" xfId="221" applyNumberFormat="1" applyFont="1" applyFill="1" applyBorder="1" applyAlignment="1" applyProtection="1">
      <alignment horizontal="center"/>
      <protection locked="0"/>
    </xf>
    <xf numFmtId="0" fontId="21" fillId="56" borderId="23" xfId="221" applyFont="1" applyFill="1" applyBorder="1" applyAlignment="1">
      <alignment horizontal="center" vertical="center"/>
      <protection/>
    </xf>
    <xf numFmtId="0" fontId="21" fillId="56" borderId="30" xfId="221" applyFont="1" applyFill="1" applyBorder="1" applyAlignment="1">
      <alignment horizontal="left"/>
      <protection/>
    </xf>
    <xf numFmtId="0" fontId="21" fillId="56" borderId="0" xfId="221" applyFont="1" applyFill="1" applyBorder="1" applyAlignment="1">
      <alignment horizontal="left"/>
      <protection/>
    </xf>
    <xf numFmtId="1" fontId="21" fillId="56" borderId="0" xfId="221" applyNumberFormat="1" applyFont="1" applyFill="1" applyBorder="1" applyAlignment="1">
      <alignment horizontal="center"/>
      <protection/>
    </xf>
    <xf numFmtId="4" fontId="26" fillId="56" borderId="33" xfId="0" applyNumberFormat="1" applyFont="1" applyFill="1" applyBorder="1" applyAlignment="1" applyProtection="1">
      <alignment horizontal="center" vertical="top"/>
      <protection locked="0"/>
    </xf>
    <xf numFmtId="2" fontId="23" fillId="0" borderId="22" xfId="221" applyNumberFormat="1" applyFont="1" applyFill="1" applyBorder="1" applyAlignment="1" applyProtection="1">
      <alignment horizontal="center" vertical="center"/>
      <protection locked="0"/>
    </xf>
    <xf numFmtId="2" fontId="21" fillId="0" borderId="0" xfId="221" applyNumberFormat="1" applyFont="1" applyFill="1" applyBorder="1" applyAlignment="1">
      <alignment horizontal="center" vertical="center"/>
      <protection/>
    </xf>
    <xf numFmtId="2" fontId="21" fillId="56" borderId="0" xfId="221" applyNumberFormat="1" applyFont="1" applyFill="1" applyBorder="1" applyAlignment="1">
      <alignment horizontal="center" vertical="center"/>
      <protection/>
    </xf>
    <xf numFmtId="4" fontId="26" fillId="0" borderId="22" xfId="221" applyNumberFormat="1" applyFont="1" applyFill="1" applyBorder="1" applyAlignment="1" applyProtection="1">
      <alignment horizontal="center" vertical="center"/>
      <protection locked="0"/>
    </xf>
    <xf numFmtId="0" fontId="21" fillId="0" borderId="29" xfId="221" applyFont="1" applyFill="1" applyBorder="1" applyAlignment="1">
      <alignment horizontal="center" vertical="center"/>
      <protection/>
    </xf>
    <xf numFmtId="2" fontId="21" fillId="0" borderId="22" xfId="193" applyNumberFormat="1" applyFont="1" applyFill="1" applyBorder="1" applyAlignment="1" applyProtection="1">
      <alignment horizontal="center" vertical="center"/>
      <protection locked="0"/>
    </xf>
    <xf numFmtId="39" fontId="21" fillId="0" borderId="0" xfId="221" applyNumberFormat="1" applyFont="1" applyFill="1" applyAlignment="1">
      <alignment horizontal="center" vertical="center"/>
      <protection/>
    </xf>
    <xf numFmtId="0" fontId="22" fillId="55" borderId="31" xfId="221" applyFont="1" applyFill="1" applyBorder="1" applyAlignment="1">
      <alignment horizontal="center" vertical="center"/>
      <protection/>
    </xf>
    <xf numFmtId="4" fontId="22" fillId="55" borderId="31" xfId="221" applyNumberFormat="1" applyFont="1" applyFill="1" applyBorder="1" applyAlignment="1">
      <alignment horizontal="center" vertical="center"/>
      <protection/>
    </xf>
    <xf numFmtId="0" fontId="22" fillId="55" borderId="34" xfId="221" applyFont="1" applyFill="1" applyBorder="1" applyAlignment="1">
      <alignment horizontal="center" vertical="center"/>
      <protection/>
    </xf>
    <xf numFmtId="0" fontId="21" fillId="0" borderId="0" xfId="221" applyFont="1" applyFill="1" applyAlignment="1">
      <alignment horizontal="center" vertical="center"/>
      <protection/>
    </xf>
    <xf numFmtId="0" fontId="21" fillId="0" borderId="22" xfId="221" applyFont="1" applyFill="1" applyBorder="1" applyAlignment="1">
      <alignment horizontal="left" vertical="center"/>
      <protection/>
    </xf>
    <xf numFmtId="1" fontId="29" fillId="3" borderId="22" xfId="101" applyNumberFormat="1" applyFont="1" applyFill="1" applyBorder="1" applyAlignment="1">
      <alignment horizontal="center" vertical="center"/>
    </xf>
    <xf numFmtId="1" fontId="21" fillId="3" borderId="22" xfId="101" applyNumberFormat="1" applyFont="1" applyFill="1" applyBorder="1" applyAlignment="1">
      <alignment horizontal="center" vertical="center"/>
    </xf>
    <xf numFmtId="2" fontId="31" fillId="3" borderId="22" xfId="221" applyNumberFormat="1" applyFont="1" applyFill="1" applyBorder="1" applyAlignment="1" applyProtection="1">
      <alignment horizontal="center" vertical="center"/>
      <protection locked="0"/>
    </xf>
    <xf numFmtId="2" fontId="11" fillId="0" borderId="22" xfId="221" applyNumberFormat="1" applyFont="1" applyFill="1" applyBorder="1" applyAlignment="1">
      <alignment horizontal="center"/>
      <protection/>
    </xf>
    <xf numFmtId="0" fontId="21" fillId="0" borderId="27" xfId="221" applyFont="1" applyFill="1" applyBorder="1" applyAlignment="1">
      <alignment horizontal="center" vertical="center"/>
      <protection/>
    </xf>
    <xf numFmtId="4" fontId="21" fillId="0" borderId="22" xfId="221" applyNumberFormat="1" applyFont="1" applyFill="1" applyBorder="1" applyAlignment="1" applyProtection="1">
      <alignment horizontal="center"/>
      <protection locked="0"/>
    </xf>
    <xf numFmtId="2" fontId="21" fillId="41" borderId="22" xfId="195" applyNumberFormat="1" applyFont="1" applyFill="1" applyBorder="1" applyAlignment="1" applyProtection="1">
      <alignment horizontal="center" vertical="center"/>
      <protection locked="0"/>
    </xf>
    <xf numFmtId="1" fontId="21" fillId="41" borderId="22" xfId="195" applyNumberFormat="1" applyFont="1" applyFill="1" applyBorder="1" applyAlignment="1" applyProtection="1">
      <alignment horizontal="center" vertical="center"/>
      <protection locked="0"/>
    </xf>
    <xf numFmtId="2" fontId="21" fillId="0" borderId="22" xfId="195" applyNumberFormat="1" applyFont="1" applyFill="1" applyBorder="1" applyAlignment="1" applyProtection="1">
      <alignment horizontal="center" vertical="center"/>
      <protection locked="0"/>
    </xf>
    <xf numFmtId="0" fontId="21" fillId="0" borderId="39" xfId="221" applyFont="1" applyFill="1" applyBorder="1" applyAlignment="1">
      <alignment horizontal="center"/>
      <protection/>
    </xf>
    <xf numFmtId="0" fontId="21" fillId="0" borderId="40" xfId="221" applyFont="1" applyFill="1" applyBorder="1" applyAlignment="1">
      <alignment horizontal="left"/>
      <protection/>
    </xf>
    <xf numFmtId="0" fontId="21" fillId="0" borderId="41" xfId="221" applyFont="1" applyFill="1" applyBorder="1" applyAlignment="1">
      <alignment horizontal="center"/>
      <protection/>
    </xf>
    <xf numFmtId="0" fontId="21" fillId="0" borderId="42" xfId="221" applyFont="1" applyFill="1" applyBorder="1" applyAlignment="1">
      <alignment horizontal="center"/>
      <protection/>
    </xf>
    <xf numFmtId="2" fontId="21" fillId="0" borderId="21" xfId="193" applyNumberFormat="1" applyFont="1" applyFill="1" applyBorder="1" applyAlignment="1" applyProtection="1">
      <alignment horizontal="center" vertical="center"/>
      <protection locked="0"/>
    </xf>
    <xf numFmtId="2" fontId="21" fillId="0" borderId="22" xfId="189" applyNumberFormat="1" applyFont="1" applyFill="1" applyBorder="1" applyAlignment="1" applyProtection="1">
      <alignment horizontal="center" vertical="center"/>
      <protection locked="0"/>
    </xf>
    <xf numFmtId="0" fontId="22" fillId="55" borderId="40" xfId="221" applyFont="1" applyFill="1" applyBorder="1" applyAlignment="1">
      <alignment horizontal="left" vertical="center"/>
      <protection/>
    </xf>
    <xf numFmtId="0" fontId="22" fillId="55" borderId="39" xfId="221" applyFont="1" applyFill="1" applyBorder="1" applyAlignment="1">
      <alignment horizontal="center"/>
      <protection/>
    </xf>
    <xf numFmtId="0" fontId="24" fillId="0" borderId="43" xfId="221" applyFont="1" applyFill="1" applyBorder="1" applyAlignment="1">
      <alignment/>
      <protection/>
    </xf>
    <xf numFmtId="0" fontId="24" fillId="0" borderId="44" xfId="221" applyFont="1" applyFill="1" applyBorder="1" applyAlignment="1">
      <alignment/>
      <protection/>
    </xf>
    <xf numFmtId="0" fontId="24" fillId="0" borderId="45" xfId="221" applyFont="1" applyFill="1" applyBorder="1" applyAlignment="1">
      <alignment/>
      <protection/>
    </xf>
    <xf numFmtId="1" fontId="21" fillId="0" borderId="41" xfId="221" applyNumberFormat="1" applyFont="1" applyFill="1" applyBorder="1" applyAlignment="1">
      <alignment horizontal="center"/>
      <protection/>
    </xf>
    <xf numFmtId="0" fontId="21" fillId="0" borderId="43" xfId="221" applyFont="1" applyFill="1" applyBorder="1" applyAlignment="1">
      <alignment horizontal="center"/>
      <protection/>
    </xf>
    <xf numFmtId="0" fontId="21" fillId="0" borderId="44" xfId="221" applyFont="1" applyFill="1" applyBorder="1" applyAlignment="1">
      <alignment horizontal="center"/>
      <protection/>
    </xf>
    <xf numFmtId="0" fontId="21" fillId="0" borderId="45" xfId="221" applyFont="1" applyFill="1" applyBorder="1" applyAlignment="1">
      <alignment horizontal="center"/>
      <protection/>
    </xf>
    <xf numFmtId="0" fontId="21" fillId="0" borderId="46" xfId="221" applyFont="1" applyFill="1" applyBorder="1" applyAlignment="1">
      <alignment horizontal="center"/>
      <protection/>
    </xf>
    <xf numFmtId="0" fontId="21" fillId="0" borderId="47" xfId="221" applyFont="1" applyFill="1" applyBorder="1" applyAlignment="1">
      <alignment horizontal="center"/>
      <protection/>
    </xf>
    <xf numFmtId="2" fontId="26" fillId="56" borderId="48" xfId="231" applyNumberFormat="1" applyFont="1" applyFill="1" applyBorder="1" applyAlignment="1" applyProtection="1">
      <alignment horizontal="center" vertical="center" shrinkToFit="1"/>
      <protection locked="0"/>
    </xf>
    <xf numFmtId="0" fontId="22" fillId="56" borderId="40" xfId="221" applyFont="1" applyFill="1" applyBorder="1" applyAlignment="1">
      <alignment horizontal="left" vertical="center"/>
      <protection/>
    </xf>
    <xf numFmtId="0" fontId="22" fillId="56" borderId="0" xfId="221" applyFont="1" applyFill="1" applyBorder="1" applyAlignment="1">
      <alignment horizontal="left" vertical="center"/>
      <protection/>
    </xf>
    <xf numFmtId="2" fontId="22" fillId="56" borderId="0" xfId="221" applyNumberFormat="1" applyFont="1" applyFill="1" applyBorder="1" applyAlignment="1">
      <alignment horizontal="center"/>
      <protection/>
    </xf>
    <xf numFmtId="0" fontId="22" fillId="56" borderId="39" xfId="221" applyFont="1" applyFill="1" applyBorder="1" applyAlignment="1">
      <alignment horizontal="center"/>
      <protection/>
    </xf>
    <xf numFmtId="0" fontId="20" fillId="56" borderId="22" xfId="221" applyFont="1" applyFill="1" applyBorder="1" applyAlignment="1" applyProtection="1">
      <alignment horizontal="left" vertical="center"/>
      <protection locked="0"/>
    </xf>
    <xf numFmtId="0" fontId="20" fillId="4" borderId="22" xfId="221" applyFont="1" applyFill="1" applyBorder="1" applyAlignment="1" applyProtection="1">
      <alignment horizontal="left" vertical="center"/>
      <protection locked="0"/>
    </xf>
    <xf numFmtId="0" fontId="21" fillId="56" borderId="27" xfId="221" applyFont="1" applyFill="1" applyBorder="1" applyAlignment="1">
      <alignment horizontal="center" vertical="center"/>
      <protection/>
    </xf>
    <xf numFmtId="0" fontId="21" fillId="56" borderId="43" xfId="221" applyFont="1" applyFill="1" applyBorder="1" applyAlignment="1">
      <alignment horizontal="center"/>
      <protection/>
    </xf>
    <xf numFmtId="0" fontId="21" fillId="56" borderId="44" xfId="221" applyFont="1" applyFill="1" applyBorder="1" applyAlignment="1">
      <alignment horizontal="center"/>
      <protection/>
    </xf>
    <xf numFmtId="0" fontId="21" fillId="56" borderId="45" xfId="221" applyFont="1" applyFill="1" applyBorder="1" applyAlignment="1">
      <alignment horizontal="center"/>
      <protection/>
    </xf>
    <xf numFmtId="0" fontId="21" fillId="56" borderId="0" xfId="221" applyFont="1" applyFill="1" applyAlignment="1">
      <alignment horizontal="center" vertical="center"/>
      <protection/>
    </xf>
    <xf numFmtId="4" fontId="33" fillId="56" borderId="0" xfId="221" applyNumberFormat="1" applyFont="1" applyFill="1" applyBorder="1" applyAlignment="1">
      <alignment horizontal="center"/>
      <protection/>
    </xf>
    <xf numFmtId="4" fontId="33" fillId="56" borderId="49" xfId="221" applyNumberFormat="1" applyFont="1" applyFill="1" applyBorder="1" applyAlignment="1">
      <alignment horizontal="center"/>
      <protection/>
    </xf>
    <xf numFmtId="0" fontId="22" fillId="56" borderId="42" xfId="221" applyFont="1" applyFill="1" applyBorder="1" applyAlignment="1">
      <alignment horizontal="center"/>
      <protection/>
    </xf>
    <xf numFmtId="0" fontId="29" fillId="56" borderId="0" xfId="221" applyFont="1" applyFill="1" applyAlignment="1">
      <alignment horizontal="center"/>
      <protection/>
    </xf>
    <xf numFmtId="4" fontId="33" fillId="56" borderId="44" xfId="221" applyNumberFormat="1" applyFont="1" applyFill="1" applyBorder="1" applyAlignment="1">
      <alignment horizontal="center"/>
      <protection/>
    </xf>
    <xf numFmtId="0" fontId="22" fillId="56" borderId="45" xfId="221" applyFont="1" applyFill="1" applyBorder="1" applyAlignment="1">
      <alignment horizontal="center"/>
      <protection/>
    </xf>
    <xf numFmtId="2" fontId="26" fillId="56" borderId="48" xfId="231" applyNumberFormat="1" applyFont="1" applyFill="1" applyBorder="1" applyAlignment="1" applyProtection="1">
      <alignment horizontal="center"/>
      <protection locked="0"/>
    </xf>
    <xf numFmtId="2" fontId="26" fillId="56" borderId="50" xfId="231" applyNumberFormat="1" applyFont="1" applyFill="1" applyBorder="1" applyAlignment="1" applyProtection="1">
      <alignment horizontal="center" vertical="center" shrinkToFit="1"/>
      <protection locked="0"/>
    </xf>
    <xf numFmtId="0" fontId="23" fillId="56" borderId="0" xfId="221" applyFont="1" applyFill="1" applyAlignment="1">
      <alignment horizontal="center"/>
      <protection/>
    </xf>
    <xf numFmtId="0" fontId="24" fillId="56" borderId="0" xfId="221" applyFont="1" applyFill="1" applyAlignment="1">
      <alignment horizontal="center"/>
      <protection/>
    </xf>
    <xf numFmtId="4" fontId="7" fillId="56" borderId="22" xfId="221" applyNumberFormat="1" applyFont="1" applyFill="1" applyBorder="1" applyAlignment="1" applyProtection="1">
      <alignment horizontal="center" vertical="center"/>
      <protection locked="0"/>
    </xf>
    <xf numFmtId="39" fontId="23" fillId="56" borderId="0" xfId="221" applyNumberFormat="1" applyFont="1" applyFill="1" applyAlignment="1">
      <alignment horizontal="center"/>
      <protection/>
    </xf>
    <xf numFmtId="2" fontId="7" fillId="56" borderId="22" xfId="221" applyNumberFormat="1" applyFont="1" applyFill="1" applyBorder="1" applyAlignment="1" applyProtection="1">
      <alignment horizontal="center" vertical="center"/>
      <protection locked="0"/>
    </xf>
    <xf numFmtId="0" fontId="23" fillId="0" borderId="0" xfId="221" applyFont="1" applyFill="1" applyAlignment="1">
      <alignment horizontal="center"/>
      <protection/>
    </xf>
    <xf numFmtId="1" fontId="23" fillId="0" borderId="0" xfId="221" applyNumberFormat="1" applyFont="1" applyFill="1" applyAlignment="1">
      <alignment horizontal="center"/>
      <protection/>
    </xf>
    <xf numFmtId="0" fontId="24" fillId="3" borderId="22" xfId="221" applyFont="1" applyFill="1" applyBorder="1" applyAlignment="1">
      <alignment horizontal="center" vertical="center"/>
      <protection/>
    </xf>
    <xf numFmtId="4" fontId="36" fillId="3" borderId="22" xfId="221" applyNumberFormat="1" applyFont="1" applyFill="1" applyBorder="1" applyAlignment="1">
      <alignment horizontal="center" vertical="center"/>
      <protection/>
    </xf>
    <xf numFmtId="1" fontId="24" fillId="3" borderId="22" xfId="221" applyNumberFormat="1" applyFont="1" applyFill="1" applyBorder="1" applyAlignment="1">
      <alignment horizontal="center" vertical="center"/>
      <protection/>
    </xf>
    <xf numFmtId="2" fontId="23" fillId="3" borderId="22" xfId="221" applyNumberFormat="1" applyFont="1" applyFill="1" applyBorder="1" applyAlignment="1">
      <alignment horizontal="center" vertical="center"/>
      <protection/>
    </xf>
    <xf numFmtId="2" fontId="24" fillId="3" borderId="22" xfId="221" applyNumberFormat="1" applyFont="1" applyFill="1" applyBorder="1" applyAlignment="1">
      <alignment horizontal="center" vertical="center"/>
      <protection/>
    </xf>
    <xf numFmtId="2" fontId="24" fillId="3" borderId="22" xfId="101" applyNumberFormat="1" applyFont="1" applyFill="1" applyBorder="1" applyAlignment="1">
      <alignment horizontal="center" vertical="center"/>
    </xf>
    <xf numFmtId="3" fontId="24" fillId="3" borderId="22" xfId="221" applyNumberFormat="1" applyFont="1" applyFill="1" applyBorder="1" applyAlignment="1">
      <alignment horizontal="center" vertical="center"/>
      <protection/>
    </xf>
    <xf numFmtId="199" fontId="24" fillId="3" borderId="22" xfId="101" applyNumberFormat="1" applyFont="1" applyFill="1" applyBorder="1" applyAlignment="1">
      <alignment horizontal="center" vertical="center"/>
    </xf>
    <xf numFmtId="4" fontId="24" fillId="3" borderId="22" xfId="221" applyNumberFormat="1" applyFont="1" applyFill="1" applyBorder="1" applyAlignment="1">
      <alignment horizontal="center" vertical="center"/>
      <protection/>
    </xf>
    <xf numFmtId="0" fontId="37" fillId="0" borderId="22" xfId="221" applyFont="1" applyFill="1" applyBorder="1" applyAlignment="1">
      <alignment horizontal="left" vertical="center"/>
      <protection/>
    </xf>
    <xf numFmtId="0" fontId="37" fillId="0" borderId="22" xfId="221" applyFont="1" applyFill="1" applyBorder="1" applyAlignment="1">
      <alignment horizontal="center" vertical="center"/>
      <protection/>
    </xf>
    <xf numFmtId="4" fontId="38" fillId="56" borderId="33" xfId="222" applyNumberFormat="1" applyFont="1" applyFill="1" applyBorder="1" applyAlignment="1" applyProtection="1">
      <alignment horizontal="center" vertical="top"/>
      <protection locked="0"/>
    </xf>
    <xf numFmtId="1" fontId="23" fillId="56" borderId="22" xfId="221" applyNumberFormat="1" applyFont="1" applyFill="1" applyBorder="1" applyAlignment="1" applyProtection="1">
      <alignment horizontal="center" vertical="center"/>
      <protection locked="0"/>
    </xf>
    <xf numFmtId="2" fontId="23" fillId="56" borderId="22" xfId="221" applyNumberFormat="1" applyFont="1" applyFill="1" applyBorder="1" applyAlignment="1" applyProtection="1">
      <alignment horizontal="center" vertical="center"/>
      <protection locked="0"/>
    </xf>
    <xf numFmtId="2" fontId="23" fillId="4" borderId="22" xfId="221" applyNumberFormat="1" applyFont="1" applyFill="1" applyBorder="1" applyAlignment="1" applyProtection="1">
      <alignment horizontal="center" vertical="center"/>
      <protection locked="0"/>
    </xf>
    <xf numFmtId="1" fontId="23" fillId="4" borderId="22" xfId="221" applyNumberFormat="1" applyFont="1" applyFill="1" applyBorder="1" applyAlignment="1" applyProtection="1">
      <alignment horizontal="center" vertical="center"/>
      <protection locked="0"/>
    </xf>
    <xf numFmtId="2" fontId="23" fillId="0" borderId="22" xfId="101" applyNumberFormat="1" applyFont="1" applyFill="1" applyBorder="1" applyAlignment="1" applyProtection="1">
      <alignment horizontal="center" vertical="center"/>
      <protection locked="0"/>
    </xf>
    <xf numFmtId="2" fontId="23" fillId="41" borderId="22" xfId="221" applyNumberFormat="1" applyFont="1" applyFill="1" applyBorder="1" applyAlignment="1" applyProtection="1">
      <alignment horizontal="center" vertical="center"/>
      <protection locked="0"/>
    </xf>
    <xf numFmtId="1" fontId="23" fillId="41" borderId="22" xfId="221" applyNumberFormat="1" applyFont="1" applyFill="1" applyBorder="1" applyAlignment="1" applyProtection="1">
      <alignment horizontal="center" vertical="center"/>
      <protection locked="0"/>
    </xf>
    <xf numFmtId="4" fontId="39" fillId="2" borderId="22" xfId="221" applyNumberFormat="1" applyFont="1" applyFill="1" applyBorder="1" applyAlignment="1">
      <alignment horizontal="center" vertical="center"/>
      <protection/>
    </xf>
    <xf numFmtId="0" fontId="24" fillId="0" borderId="23" xfId="221" applyFont="1" applyFill="1" applyBorder="1" applyAlignment="1">
      <alignment horizontal="center" vertical="center"/>
      <protection/>
    </xf>
    <xf numFmtId="0" fontId="24" fillId="0" borderId="0" xfId="221" applyFont="1" applyFill="1" applyAlignment="1">
      <alignment horizontal="center"/>
      <protection/>
    </xf>
    <xf numFmtId="4" fontId="40" fillId="0" borderId="22" xfId="221" applyNumberFormat="1" applyFont="1" applyFill="1" applyBorder="1" applyAlignment="1" applyProtection="1">
      <alignment horizontal="center" vertical="center"/>
      <protection locked="0"/>
    </xf>
    <xf numFmtId="0" fontId="23" fillId="0" borderId="27" xfId="221" applyFont="1" applyFill="1" applyBorder="1" applyAlignment="1">
      <alignment horizontal="center"/>
      <protection/>
    </xf>
    <xf numFmtId="1" fontId="39" fillId="56" borderId="22" xfId="221" applyNumberFormat="1" applyFont="1" applyFill="1" applyBorder="1" applyAlignment="1" applyProtection="1">
      <alignment horizontal="center" vertical="center"/>
      <protection locked="0"/>
    </xf>
    <xf numFmtId="2" fontId="39" fillId="0" borderId="22" xfId="221" applyNumberFormat="1" applyFont="1" applyFill="1" applyBorder="1" applyAlignment="1" applyProtection="1">
      <alignment horizontal="center" vertical="center"/>
      <protection locked="0"/>
    </xf>
    <xf numFmtId="2" fontId="39" fillId="0" borderId="22" xfId="101" applyNumberFormat="1" applyFont="1" applyFill="1" applyBorder="1" applyAlignment="1" applyProtection="1">
      <alignment horizontal="center" vertical="center"/>
      <protection locked="0"/>
    </xf>
    <xf numFmtId="1" fontId="39" fillId="4" borderId="22" xfId="221" applyNumberFormat="1" applyFont="1" applyFill="1" applyBorder="1" applyAlignment="1" applyProtection="1">
      <alignment horizontal="center" vertical="center"/>
      <protection locked="0"/>
    </xf>
    <xf numFmtId="39" fontId="23" fillId="0" borderId="0" xfId="221" applyNumberFormat="1" applyFont="1" applyFill="1" applyAlignment="1">
      <alignment horizontal="center" vertical="center"/>
      <protection/>
    </xf>
    <xf numFmtId="0" fontId="23" fillId="0" borderId="0" xfId="221" applyFont="1" applyFill="1" applyAlignment="1">
      <alignment horizontal="center" vertical="center"/>
      <protection/>
    </xf>
    <xf numFmtId="0" fontId="39" fillId="56" borderId="0" xfId="221" applyFont="1" applyFill="1" applyBorder="1" applyAlignment="1">
      <alignment horizontal="center" vertical="center"/>
      <protection/>
    </xf>
    <xf numFmtId="4" fontId="39" fillId="56" borderId="0" xfId="221" applyNumberFormat="1" applyFont="1" applyFill="1" applyBorder="1" applyAlignment="1">
      <alignment horizontal="center" vertical="center"/>
      <protection/>
    </xf>
    <xf numFmtId="1" fontId="41" fillId="56" borderId="33" xfId="222" applyNumberFormat="1" applyFont="1" applyFill="1" applyBorder="1" applyAlignment="1" applyProtection="1">
      <alignment horizontal="center" vertical="top"/>
      <protection locked="0"/>
    </xf>
    <xf numFmtId="2" fontId="38" fillId="0" borderId="22" xfId="221" applyNumberFormat="1" applyFont="1" applyFill="1" applyBorder="1" applyAlignment="1" applyProtection="1">
      <alignment horizontal="center" vertical="center"/>
      <protection locked="0"/>
    </xf>
    <xf numFmtId="2" fontId="23" fillId="0" borderId="22" xfId="193" applyNumberFormat="1" applyFont="1" applyFill="1" applyBorder="1" applyAlignment="1" applyProtection="1">
      <alignment horizontal="center" vertical="center"/>
      <protection locked="0"/>
    </xf>
    <xf numFmtId="4" fontId="38" fillId="0" borderId="22" xfId="221" applyNumberFormat="1" applyFont="1" applyFill="1" applyBorder="1" applyAlignment="1" applyProtection="1">
      <alignment horizontal="center" vertical="center"/>
      <protection locked="0"/>
    </xf>
    <xf numFmtId="2" fontId="23" fillId="4" borderId="22" xfId="101" applyNumberFormat="1" applyFont="1" applyFill="1" applyBorder="1" applyAlignment="1" applyProtection="1">
      <alignment horizontal="center" vertical="center"/>
      <protection locked="0"/>
    </xf>
    <xf numFmtId="0" fontId="22" fillId="0" borderId="0" xfId="221" applyFont="1" applyFill="1" applyBorder="1" applyAlignment="1">
      <alignment horizontal="left" vertical="center"/>
      <protection/>
    </xf>
    <xf numFmtId="4" fontId="22" fillId="0" borderId="0" xfId="221" applyNumberFormat="1" applyFont="1" applyFill="1" applyBorder="1" applyAlignment="1">
      <alignment horizontal="center"/>
      <protection/>
    </xf>
    <xf numFmtId="0" fontId="22" fillId="0" borderId="0" xfId="221" applyFont="1" applyFill="1" applyBorder="1" applyAlignment="1">
      <alignment horizontal="center"/>
      <protection/>
    </xf>
    <xf numFmtId="0" fontId="40" fillId="0" borderId="22" xfId="221" applyFont="1" applyFill="1" applyBorder="1" applyAlignment="1" applyProtection="1">
      <alignment horizontal="left" vertical="center"/>
      <protection locked="0"/>
    </xf>
    <xf numFmtId="1" fontId="23" fillId="56" borderId="22" xfId="221" applyNumberFormat="1" applyFont="1" applyFill="1" applyBorder="1" applyAlignment="1" applyProtection="1">
      <alignment horizontal="left" vertical="center"/>
      <protection locked="0"/>
    </xf>
    <xf numFmtId="2" fontId="23" fillId="56" borderId="22" xfId="221" applyNumberFormat="1" applyFont="1" applyFill="1" applyBorder="1" applyAlignment="1" applyProtection="1">
      <alignment horizontal="left" vertical="center"/>
      <protection locked="0"/>
    </xf>
    <xf numFmtId="0" fontId="23" fillId="0" borderId="22" xfId="221" applyFont="1" applyFill="1" applyBorder="1" applyAlignment="1" applyProtection="1">
      <alignment horizontal="center" vertical="center"/>
      <protection locked="0"/>
    </xf>
    <xf numFmtId="0" fontId="40" fillId="0" borderId="22" xfId="221" applyFont="1" applyFill="1" applyBorder="1" applyAlignment="1" applyProtection="1">
      <alignment vertical="center"/>
      <protection locked="0"/>
    </xf>
    <xf numFmtId="0" fontId="40" fillId="56" borderId="22" xfId="221" applyFont="1" applyFill="1" applyBorder="1" applyAlignment="1" applyProtection="1">
      <alignment vertical="center"/>
      <protection locked="0"/>
    </xf>
    <xf numFmtId="1" fontId="23" fillId="56" borderId="22" xfId="221" applyNumberFormat="1" applyFont="1" applyFill="1" applyBorder="1" applyAlignment="1" applyProtection="1">
      <alignment vertical="center"/>
      <protection locked="0"/>
    </xf>
    <xf numFmtId="2" fontId="23" fillId="56" borderId="22" xfId="221" applyNumberFormat="1" applyFont="1" applyFill="1" applyBorder="1" applyAlignment="1" applyProtection="1">
      <alignment vertical="center"/>
      <protection locked="0"/>
    </xf>
    <xf numFmtId="4" fontId="28" fillId="0" borderId="0" xfId="221" applyNumberFormat="1" applyFont="1" applyFill="1" applyBorder="1" applyAlignment="1">
      <alignment horizontal="center"/>
      <protection/>
    </xf>
    <xf numFmtId="2" fontId="42" fillId="56" borderId="48" xfId="214" applyNumberFormat="1" applyFont="1" applyFill="1" applyBorder="1" applyAlignment="1" applyProtection="1">
      <alignment horizontal="center" shrinkToFit="1"/>
      <protection locked="0"/>
    </xf>
    <xf numFmtId="2" fontId="39" fillId="41" borderId="22" xfId="221" applyNumberFormat="1" applyFont="1" applyFill="1" applyBorder="1" applyAlignment="1" applyProtection="1">
      <alignment horizontal="center" vertical="center"/>
      <protection locked="0"/>
    </xf>
    <xf numFmtId="2" fontId="38" fillId="56" borderId="48" xfId="214" applyNumberFormat="1" applyFont="1" applyFill="1" applyBorder="1" applyAlignment="1" applyProtection="1">
      <alignment horizontal="center" vertical="center" shrinkToFit="1"/>
      <protection locked="0"/>
    </xf>
    <xf numFmtId="0" fontId="29" fillId="2" borderId="22" xfId="221" applyFont="1" applyFill="1" applyBorder="1" applyAlignment="1">
      <alignment horizontal="left" vertical="center"/>
      <protection/>
    </xf>
    <xf numFmtId="0" fontId="29" fillId="2" borderId="22" xfId="221" applyFont="1" applyFill="1" applyBorder="1" applyAlignment="1">
      <alignment horizontal="center" vertical="center" wrapText="1"/>
      <protection/>
    </xf>
    <xf numFmtId="0" fontId="29" fillId="2" borderId="22" xfId="221" applyFont="1" applyFill="1" applyBorder="1" applyAlignment="1">
      <alignment horizontal="center" vertical="center"/>
      <protection/>
    </xf>
    <xf numFmtId="4" fontId="43" fillId="2" borderId="22" xfId="221" applyNumberFormat="1" applyFont="1" applyFill="1" applyBorder="1" applyAlignment="1">
      <alignment horizontal="center" vertical="center"/>
      <protection/>
    </xf>
    <xf numFmtId="1" fontId="29" fillId="2" borderId="22" xfId="221" applyNumberFormat="1" applyFont="1" applyFill="1" applyBorder="1" applyAlignment="1">
      <alignment horizontal="center" vertical="center"/>
      <protection/>
    </xf>
    <xf numFmtId="2" fontId="29" fillId="2" borderId="22" xfId="221" applyNumberFormat="1" applyFont="1" applyFill="1" applyBorder="1" applyAlignment="1">
      <alignment horizontal="center" vertical="center"/>
      <protection/>
    </xf>
    <xf numFmtId="2" fontId="29" fillId="2" borderId="22" xfId="101" applyNumberFormat="1" applyFont="1" applyFill="1" applyBorder="1" applyAlignment="1">
      <alignment horizontal="center" vertical="center"/>
    </xf>
    <xf numFmtId="200" fontId="29" fillId="2" borderId="22" xfId="221" applyNumberFormat="1" applyFont="1" applyFill="1" applyBorder="1" applyAlignment="1">
      <alignment horizontal="center" vertical="center"/>
      <protection/>
    </xf>
    <xf numFmtId="199" fontId="29" fillId="2" borderId="22" xfId="101" applyNumberFormat="1" applyFont="1" applyFill="1" applyBorder="1" applyAlignment="1">
      <alignment horizontal="center" vertical="center"/>
    </xf>
    <xf numFmtId="2" fontId="31" fillId="2" borderId="22" xfId="221" applyNumberFormat="1" applyFont="1" applyFill="1" applyBorder="1" applyAlignment="1" applyProtection="1">
      <alignment horizontal="center" vertical="center"/>
      <protection locked="0"/>
    </xf>
    <xf numFmtId="0" fontId="23" fillId="0" borderId="23" xfId="221" applyFont="1" applyFill="1" applyBorder="1" applyAlignment="1">
      <alignment horizontal="center"/>
      <protection/>
    </xf>
    <xf numFmtId="4" fontId="21" fillId="3" borderId="22" xfId="101" applyNumberFormat="1" applyFont="1" applyFill="1" applyBorder="1" applyAlignment="1">
      <alignment horizontal="center" vertical="center"/>
    </xf>
    <xf numFmtId="4" fontId="29" fillId="3" borderId="22" xfId="221" applyNumberFormat="1" applyFont="1" applyFill="1" applyBorder="1" applyAlignment="1">
      <alignment horizontal="center" vertical="center"/>
      <protection/>
    </xf>
    <xf numFmtId="0" fontId="29" fillId="17" borderId="23" xfId="221" applyFont="1" applyFill="1" applyBorder="1" applyAlignment="1">
      <alignment horizontal="center" vertical="center"/>
      <protection/>
    </xf>
    <xf numFmtId="2" fontId="29" fillId="0" borderId="0" xfId="221" applyNumberFormat="1" applyFont="1" applyFill="1" applyAlignment="1">
      <alignment horizontal="center"/>
      <protection/>
    </xf>
    <xf numFmtId="0" fontId="29" fillId="0" borderId="0" xfId="221" applyFont="1" applyFill="1" applyAlignment="1">
      <alignment horizontal="center"/>
      <protection/>
    </xf>
    <xf numFmtId="4" fontId="7" fillId="56" borderId="22" xfId="101" applyNumberFormat="1" applyFont="1" applyFill="1" applyBorder="1" applyAlignment="1" applyProtection="1">
      <alignment horizontal="center" vertical="center"/>
      <protection locked="0"/>
    </xf>
    <xf numFmtId="2" fontId="22" fillId="56" borderId="22" xfId="221" applyNumberFormat="1" applyFont="1" applyFill="1" applyBorder="1" applyAlignment="1" applyProtection="1">
      <alignment horizontal="center" vertical="center"/>
      <protection locked="0"/>
    </xf>
    <xf numFmtId="4" fontId="22" fillId="56" borderId="22" xfId="221" applyNumberFormat="1" applyFont="1" applyFill="1" applyBorder="1" applyAlignment="1">
      <alignment horizontal="center" vertical="center"/>
      <protection/>
    </xf>
    <xf numFmtId="4" fontId="23" fillId="56" borderId="22" xfId="221" applyNumberFormat="1" applyFont="1" applyFill="1" applyBorder="1" applyAlignment="1" applyProtection="1">
      <alignment horizontal="center" vertical="center" wrapText="1"/>
      <protection locked="0"/>
    </xf>
    <xf numFmtId="4" fontId="28" fillId="56" borderId="0" xfId="221" applyNumberFormat="1" applyFont="1" applyFill="1" applyBorder="1" applyAlignment="1">
      <alignment horizontal="center"/>
      <protection/>
    </xf>
    <xf numFmtId="2" fontId="44" fillId="56" borderId="22" xfId="221" applyNumberFormat="1" applyFont="1" applyFill="1" applyBorder="1" applyAlignment="1" applyProtection="1">
      <alignment horizontal="center" vertical="center"/>
      <protection locked="0"/>
    </xf>
    <xf numFmtId="1" fontId="21" fillId="38" borderId="22" xfId="221" applyNumberFormat="1" applyFont="1" applyFill="1" applyBorder="1" applyAlignment="1" applyProtection="1">
      <alignment horizontal="center" vertical="center"/>
      <protection locked="0"/>
    </xf>
    <xf numFmtId="2" fontId="21" fillId="38" borderId="22" xfId="101" applyNumberFormat="1" applyFont="1" applyFill="1" applyBorder="1" applyAlignment="1" applyProtection="1">
      <alignment horizontal="center" vertical="center"/>
      <protection locked="0"/>
    </xf>
    <xf numFmtId="2" fontId="21" fillId="56" borderId="22" xfId="193" applyNumberFormat="1" applyFont="1" applyFill="1" applyBorder="1" applyAlignment="1" applyProtection="1">
      <alignment horizontal="center" vertical="center"/>
      <protection locked="0"/>
    </xf>
    <xf numFmtId="0" fontId="44" fillId="56" borderId="22" xfId="221" applyFont="1" applyFill="1" applyBorder="1" applyAlignment="1" applyProtection="1">
      <alignment horizontal="center" vertical="center"/>
      <protection locked="0"/>
    </xf>
    <xf numFmtId="4" fontId="44" fillId="56" borderId="22" xfId="101" applyNumberFormat="1" applyFont="1" applyFill="1" applyBorder="1" applyAlignment="1" applyProtection="1">
      <alignment horizontal="center" vertical="center"/>
      <protection locked="0"/>
    </xf>
    <xf numFmtId="4" fontId="44" fillId="56" borderId="0" xfId="221" applyNumberFormat="1" applyFont="1" applyFill="1" applyAlignment="1" applyProtection="1">
      <alignment horizontal="left" vertical="center"/>
      <protection locked="0"/>
    </xf>
    <xf numFmtId="4" fontId="23" fillId="0" borderId="22" xfId="221" applyNumberFormat="1" applyFont="1" applyFill="1" applyBorder="1" applyAlignment="1" applyProtection="1">
      <alignment horizontal="center" vertical="center" wrapText="1"/>
      <protection locked="0"/>
    </xf>
    <xf numFmtId="4" fontId="44" fillId="56" borderId="22" xfId="221" applyNumberFormat="1" applyFont="1" applyFill="1" applyBorder="1" applyAlignment="1" applyProtection="1">
      <alignment horizontal="center" vertical="center"/>
      <protection locked="0"/>
    </xf>
    <xf numFmtId="4" fontId="7" fillId="0" borderId="0" xfId="221" applyNumberFormat="1" applyFont="1" applyFill="1" applyAlignment="1" applyProtection="1">
      <alignment horizontal="left" vertical="center"/>
      <protection locked="0"/>
    </xf>
    <xf numFmtId="4" fontId="7" fillId="56" borderId="22" xfId="223" applyNumberFormat="1" applyFont="1" applyFill="1" applyBorder="1" applyAlignment="1" applyProtection="1">
      <alignment horizontal="center" vertical="center"/>
      <protection locked="0"/>
    </xf>
    <xf numFmtId="1" fontId="21" fillId="56" borderId="22" xfId="223" applyNumberFormat="1" applyFont="1" applyFill="1" applyBorder="1" applyAlignment="1" applyProtection="1">
      <alignment horizontal="center" vertical="center"/>
      <protection locked="0"/>
    </xf>
    <xf numFmtId="2" fontId="21" fillId="4" borderId="22" xfId="193" applyNumberFormat="1" applyFont="1" applyFill="1" applyBorder="1" applyAlignment="1" applyProtection="1">
      <alignment horizontal="center" vertical="center"/>
      <protection locked="0"/>
    </xf>
    <xf numFmtId="2" fontId="21" fillId="41" borderId="22" xfId="223" applyNumberFormat="1" applyFont="1" applyFill="1" applyBorder="1" applyAlignment="1" applyProtection="1">
      <alignment horizontal="center" vertical="center"/>
      <protection locked="0"/>
    </xf>
    <xf numFmtId="1" fontId="21" fillId="41" borderId="22" xfId="223" applyNumberFormat="1" applyFont="1" applyFill="1" applyBorder="1" applyAlignment="1" applyProtection="1">
      <alignment horizontal="center" vertical="center"/>
      <protection locked="0"/>
    </xf>
    <xf numFmtId="2" fontId="21" fillId="56" borderId="22" xfId="223" applyNumberFormat="1" applyFont="1" applyFill="1" applyBorder="1" applyAlignment="1" applyProtection="1">
      <alignment horizontal="center" vertical="center"/>
      <protection locked="0"/>
    </xf>
    <xf numFmtId="2" fontId="21" fillId="0" borderId="22" xfId="223" applyNumberFormat="1" applyFont="1" applyFill="1" applyBorder="1" applyAlignment="1" applyProtection="1">
      <alignment horizontal="center" vertical="center"/>
      <protection locked="0"/>
    </xf>
    <xf numFmtId="4" fontId="45" fillId="56" borderId="51" xfId="225" applyNumberFormat="1" applyFont="1" applyFill="1" applyBorder="1" applyAlignment="1" applyProtection="1">
      <alignment horizontal="center" vertical="center"/>
      <protection locked="0"/>
    </xf>
    <xf numFmtId="4" fontId="45" fillId="56" borderId="52" xfId="225" applyNumberFormat="1" applyFont="1" applyFill="1" applyBorder="1" applyAlignment="1" applyProtection="1">
      <alignment horizontal="center" vertical="center"/>
      <protection locked="0"/>
    </xf>
    <xf numFmtId="4" fontId="45" fillId="56" borderId="53" xfId="225" applyNumberFormat="1" applyFont="1" applyFill="1" applyBorder="1" applyAlignment="1" applyProtection="1">
      <alignment horizontal="center" vertical="center"/>
      <protection locked="0"/>
    </xf>
    <xf numFmtId="4" fontId="45" fillId="56" borderId="54" xfId="225" applyNumberFormat="1" applyFont="1" applyFill="1" applyBorder="1" applyAlignment="1" applyProtection="1">
      <alignment horizontal="center" vertical="center"/>
      <protection locked="0"/>
    </xf>
    <xf numFmtId="4" fontId="46" fillId="0" borderId="54" xfId="225" applyNumberFormat="1" applyFont="1" applyFill="1" applyBorder="1" applyAlignment="1" applyProtection="1">
      <alignment horizontal="center" vertical="center"/>
      <protection locked="0"/>
    </xf>
    <xf numFmtId="0" fontId="7" fillId="0" borderId="22" xfId="221" applyFont="1" applyFill="1" applyBorder="1" applyAlignment="1" applyProtection="1">
      <alignment horizontal="center" vertical="center"/>
      <protection locked="0"/>
    </xf>
    <xf numFmtId="4" fontId="45" fillId="56" borderId="51" xfId="225" applyNumberFormat="1" applyFont="1" applyFill="1" applyBorder="1" applyAlignment="1" applyProtection="1">
      <alignment vertical="center"/>
      <protection locked="0"/>
    </xf>
    <xf numFmtId="4" fontId="45" fillId="56" borderId="52" xfId="225" applyNumberFormat="1" applyFont="1" applyFill="1" applyBorder="1" applyAlignment="1" applyProtection="1">
      <alignment vertical="center"/>
      <protection locked="0"/>
    </xf>
    <xf numFmtId="2" fontId="22" fillId="41" borderId="22" xfId="223" applyNumberFormat="1" applyFont="1" applyFill="1" applyBorder="1" applyAlignment="1" applyProtection="1">
      <alignment horizontal="center" vertical="center"/>
      <protection locked="0"/>
    </xf>
    <xf numFmtId="4" fontId="45" fillId="56" borderId="54" xfId="225" applyNumberFormat="1" applyFont="1" applyFill="1" applyBorder="1" applyAlignment="1" applyProtection="1">
      <alignment vertical="center"/>
      <protection locked="0"/>
    </xf>
    <xf numFmtId="4" fontId="45" fillId="56" borderId="55" xfId="225" applyNumberFormat="1" applyFont="1" applyFill="1" applyBorder="1" applyAlignment="1" applyProtection="1">
      <alignment vertical="center"/>
      <protection locked="0"/>
    </xf>
    <xf numFmtId="43" fontId="21" fillId="0" borderId="0" xfId="221" applyNumberFormat="1" applyFont="1" applyFill="1" applyAlignment="1">
      <alignment horizontal="center"/>
      <protection/>
    </xf>
    <xf numFmtId="0" fontId="7" fillId="56" borderId="22" xfId="221" applyFont="1" applyFill="1" applyBorder="1" applyAlignment="1" applyProtection="1">
      <alignment horizontal="center" vertical="center"/>
      <protection locked="0"/>
    </xf>
    <xf numFmtId="2" fontId="21" fillId="56" borderId="54" xfId="212" applyNumberFormat="1" applyFont="1" applyFill="1" applyBorder="1" applyAlignment="1" applyProtection="1">
      <alignment horizontal="center" vertical="center" wrapText="1"/>
      <protection locked="0"/>
    </xf>
    <xf numFmtId="4" fontId="7" fillId="0" borderId="22" xfId="223" applyNumberFormat="1" applyFont="1" applyFill="1" applyBorder="1" applyAlignment="1" applyProtection="1">
      <alignment horizontal="center" vertical="center"/>
      <protection locked="0"/>
    </xf>
    <xf numFmtId="2" fontId="7" fillId="56" borderId="54" xfId="212" applyNumberFormat="1" applyFont="1" applyFill="1" applyBorder="1" applyAlignment="1" applyProtection="1">
      <alignment horizontal="center" vertical="center" wrapText="1"/>
      <protection locked="0"/>
    </xf>
    <xf numFmtId="194" fontId="23" fillId="0" borderId="22" xfId="193" applyNumberFormat="1" applyFont="1" applyFill="1" applyBorder="1" applyAlignment="1" applyProtection="1">
      <alignment horizontal="center" vertical="center"/>
      <protection locked="0"/>
    </xf>
    <xf numFmtId="1" fontId="21" fillId="41" borderId="22" xfId="101" applyNumberFormat="1" applyFont="1" applyFill="1" applyBorder="1" applyAlignment="1" applyProtection="1">
      <alignment horizontal="center" vertical="center"/>
      <protection locked="0"/>
    </xf>
    <xf numFmtId="0" fontId="22" fillId="56" borderId="0" xfId="221" applyFont="1" applyFill="1" applyBorder="1" applyAlignment="1">
      <alignment horizontal="center" vertical="center"/>
      <protection/>
    </xf>
    <xf numFmtId="4" fontId="22" fillId="56" borderId="0" xfId="221" applyNumberFormat="1" applyFont="1" applyFill="1" applyBorder="1" applyAlignment="1">
      <alignment horizontal="center" vertical="center"/>
      <protection/>
    </xf>
    <xf numFmtId="2" fontId="21" fillId="4" borderId="19" xfId="101" applyNumberFormat="1" applyFont="1" applyFill="1" applyBorder="1" applyAlignment="1" applyProtection="1">
      <alignment horizontal="center" vertical="center"/>
      <protection locked="0"/>
    </xf>
    <xf numFmtId="43" fontId="7" fillId="57" borderId="22" xfId="101" applyFont="1" applyFill="1" applyBorder="1" applyAlignment="1" applyProtection="1">
      <alignment horizontal="center" vertical="center"/>
      <protection locked="0"/>
    </xf>
    <xf numFmtId="2" fontId="21" fillId="57" borderId="22" xfId="101" applyNumberFormat="1" applyFont="1" applyFill="1" applyBorder="1" applyAlignment="1" applyProtection="1">
      <alignment horizontal="center" vertical="center"/>
      <protection locked="0"/>
    </xf>
    <xf numFmtId="4" fontId="48" fillId="41" borderId="22" xfId="221" applyNumberFormat="1" applyFont="1" applyFill="1" applyBorder="1" applyAlignment="1" applyProtection="1">
      <alignment horizontal="center" vertical="center"/>
      <protection locked="0"/>
    </xf>
    <xf numFmtId="2" fontId="11" fillId="56" borderId="54" xfId="212" applyNumberFormat="1" applyFont="1" applyFill="1" applyBorder="1" applyAlignment="1" applyProtection="1">
      <alignment horizontal="center" vertical="center" wrapText="1"/>
      <protection locked="0"/>
    </xf>
    <xf numFmtId="0" fontId="7" fillId="56" borderId="54" xfId="212" applyNumberFormat="1" applyFont="1" applyFill="1" applyBorder="1" applyAlignment="1" applyProtection="1">
      <alignment horizontal="center" vertical="center" wrapText="1"/>
      <protection locked="0"/>
    </xf>
    <xf numFmtId="1" fontId="21" fillId="4" borderId="22" xfId="193" applyNumberFormat="1" applyFont="1" applyFill="1" applyBorder="1" applyAlignment="1" applyProtection="1">
      <alignment horizontal="center" vertical="center"/>
      <protection locked="0"/>
    </xf>
    <xf numFmtId="2" fontId="21" fillId="58" borderId="22" xfId="101" applyNumberFormat="1" applyFont="1" applyFill="1" applyBorder="1" applyAlignment="1" applyProtection="1">
      <alignment horizontal="center" vertical="center"/>
      <protection locked="0"/>
    </xf>
    <xf numFmtId="1" fontId="21" fillId="58" borderId="22" xfId="221" applyNumberFormat="1" applyFont="1" applyFill="1" applyBorder="1" applyAlignment="1" applyProtection="1">
      <alignment horizontal="center" vertical="center"/>
      <protection locked="0"/>
    </xf>
    <xf numFmtId="2" fontId="21" fillId="59" borderId="22" xfId="101" applyNumberFormat="1" applyFont="1" applyFill="1" applyBorder="1" applyAlignment="1" applyProtection="1">
      <alignment horizontal="center" vertical="center"/>
      <protection locked="0"/>
    </xf>
    <xf numFmtId="2" fontId="21" fillId="60" borderId="22" xfId="223" applyNumberFormat="1" applyFont="1" applyFill="1" applyBorder="1" applyAlignment="1" applyProtection="1">
      <alignment horizontal="center" vertical="center"/>
      <protection locked="0"/>
    </xf>
    <xf numFmtId="1" fontId="21" fillId="60" borderId="22" xfId="223" applyNumberFormat="1" applyFont="1" applyFill="1" applyBorder="1" applyAlignment="1" applyProtection="1">
      <alignment horizontal="center" vertical="center"/>
      <protection locked="0"/>
    </xf>
    <xf numFmtId="2" fontId="21" fillId="59" borderId="22" xfId="193" applyNumberFormat="1" applyFont="1" applyFill="1" applyBorder="1" applyAlignment="1" applyProtection="1">
      <alignment horizontal="center" vertical="center"/>
      <protection locked="0"/>
    </xf>
    <xf numFmtId="4" fontId="22" fillId="59" borderId="22" xfId="221" applyNumberFormat="1" applyFont="1" applyFill="1" applyBorder="1" applyAlignment="1">
      <alignment horizontal="center" vertical="center"/>
      <protection/>
    </xf>
    <xf numFmtId="4" fontId="23" fillId="59" borderId="22" xfId="221" applyNumberFormat="1" applyFont="1" applyFill="1" applyBorder="1" applyAlignment="1" applyProtection="1">
      <alignment horizontal="center" vertical="center"/>
      <protection locked="0"/>
    </xf>
    <xf numFmtId="2" fontId="7" fillId="56" borderId="22" xfId="223" applyNumberFormat="1" applyFont="1" applyFill="1" applyBorder="1" applyAlignment="1" applyProtection="1">
      <alignment horizontal="center" vertical="center"/>
      <protection locked="0"/>
    </xf>
    <xf numFmtId="2" fontId="21" fillId="56" borderId="55" xfId="101" applyNumberFormat="1" applyFont="1" applyFill="1" applyBorder="1" applyAlignment="1" applyProtection="1">
      <alignment horizontal="center" vertical="center" wrapText="1"/>
      <protection locked="0"/>
    </xf>
    <xf numFmtId="2" fontId="7" fillId="56" borderId="24" xfId="223" applyNumberFormat="1" applyFont="1" applyFill="1" applyBorder="1" applyAlignment="1" applyProtection="1">
      <alignment horizontal="center" vertical="center"/>
      <protection locked="0"/>
    </xf>
    <xf numFmtId="2" fontId="21" fillId="41" borderId="22" xfId="221" applyNumberFormat="1" applyFont="1" applyFill="1" applyBorder="1" applyAlignment="1" applyProtection="1">
      <alignment horizontal="center" vertical="center" wrapText="1"/>
      <protection locked="0"/>
    </xf>
    <xf numFmtId="1" fontId="21" fillId="56" borderId="22" xfId="101" applyNumberFormat="1" applyFont="1" applyFill="1" applyBorder="1" applyAlignment="1" applyProtection="1">
      <alignment horizontal="center" vertical="center"/>
      <protection locked="0"/>
    </xf>
    <xf numFmtId="4" fontId="7" fillId="3" borderId="22" xfId="223" applyNumberFormat="1" applyFont="1" applyFill="1" applyBorder="1" applyAlignment="1">
      <alignment horizontal="center" vertical="center"/>
      <protection/>
    </xf>
    <xf numFmtId="200" fontId="29" fillId="3" borderId="22" xfId="221" applyNumberFormat="1" applyFont="1" applyFill="1" applyBorder="1" applyAlignment="1">
      <alignment horizontal="center" vertical="center"/>
      <protection/>
    </xf>
    <xf numFmtId="4" fontId="21" fillId="3" borderId="22" xfId="221" applyNumberFormat="1" applyFont="1" applyFill="1" applyBorder="1" applyAlignment="1">
      <alignment horizontal="center" vertical="center"/>
      <protection/>
    </xf>
    <xf numFmtId="0" fontId="21" fillId="3" borderId="27" xfId="221" applyFont="1" applyFill="1" applyBorder="1" applyAlignment="1">
      <alignment horizontal="center" vertical="center"/>
      <protection/>
    </xf>
    <xf numFmtId="39" fontId="21" fillId="3" borderId="0" xfId="221" applyNumberFormat="1" applyFont="1" applyFill="1" applyAlignment="1">
      <alignment horizontal="center" vertical="center"/>
      <protection/>
    </xf>
    <xf numFmtId="0" fontId="21" fillId="3" borderId="0" xfId="221" applyFont="1" applyFill="1" applyAlignment="1">
      <alignment horizontal="center"/>
      <protection/>
    </xf>
    <xf numFmtId="0" fontId="21" fillId="3" borderId="0" xfId="221" applyFont="1" applyFill="1" applyAlignment="1">
      <alignment horizontal="center" vertical="center"/>
      <protection/>
    </xf>
    <xf numFmtId="4" fontId="28" fillId="56" borderId="0" xfId="221" applyNumberFormat="1" applyFont="1" applyFill="1" applyBorder="1" applyAlignment="1">
      <alignment horizontal="center" vertical="center"/>
      <protection/>
    </xf>
    <xf numFmtId="4" fontId="21" fillId="56" borderId="0" xfId="221" applyNumberFormat="1" applyFont="1" applyFill="1" applyAlignment="1">
      <alignment horizontal="center" vertical="center"/>
      <protection/>
    </xf>
    <xf numFmtId="2" fontId="21" fillId="56" borderId="0" xfId="221" applyNumberFormat="1" applyFont="1" applyFill="1" applyAlignment="1">
      <alignment horizontal="center" vertical="center"/>
      <protection/>
    </xf>
    <xf numFmtId="4" fontId="28" fillId="0" borderId="0" xfId="221" applyNumberFormat="1" applyFont="1" applyFill="1" applyBorder="1" applyAlignment="1">
      <alignment horizontal="center" vertical="center"/>
      <protection/>
    </xf>
    <xf numFmtId="4" fontId="49" fillId="56" borderId="51" xfId="225" applyNumberFormat="1" applyFont="1" applyFill="1" applyBorder="1" applyAlignment="1" applyProtection="1">
      <alignment horizontal="center" vertical="center"/>
      <protection locked="0"/>
    </xf>
    <xf numFmtId="4" fontId="49" fillId="56" borderId="52" xfId="225" applyNumberFormat="1" applyFont="1" applyFill="1" applyBorder="1" applyAlignment="1" applyProtection="1">
      <alignment horizontal="center" vertical="center"/>
      <protection locked="0"/>
    </xf>
    <xf numFmtId="4" fontId="26" fillId="0" borderId="22" xfId="223" applyNumberFormat="1" applyFont="1" applyFill="1" applyBorder="1" applyAlignment="1" applyProtection="1">
      <alignment horizontal="center" vertical="center"/>
      <protection locked="0"/>
    </xf>
    <xf numFmtId="2" fontId="1" fillId="4" borderId="22" xfId="22" applyNumberFormat="1" applyBorder="1" applyAlignment="1" applyProtection="1">
      <alignment horizontal="center" vertical="center"/>
      <protection locked="0"/>
    </xf>
    <xf numFmtId="1" fontId="1" fillId="4" borderId="22" xfId="22" applyNumberFormat="1" applyBorder="1" applyAlignment="1" applyProtection="1">
      <alignment horizontal="center" vertical="center"/>
      <protection locked="0"/>
    </xf>
    <xf numFmtId="4" fontId="23" fillId="56" borderId="22" xfId="221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22" xfId="221" applyNumberFormat="1" applyFont="1" applyFill="1" applyBorder="1" applyAlignment="1" applyProtection="1">
      <alignment horizontal="center" vertical="center" wrapText="1" shrinkToFit="1"/>
      <protection locked="0"/>
    </xf>
    <xf numFmtId="39" fontId="21" fillId="56" borderId="0" xfId="221" applyNumberFormat="1" applyFont="1" applyFill="1" applyAlignment="1">
      <alignment horizontal="center" vertical="center"/>
      <protection/>
    </xf>
    <xf numFmtId="199" fontId="23" fillId="0" borderId="22" xfId="101" applyNumberFormat="1" applyFont="1" applyFill="1" applyBorder="1" applyAlignment="1" applyProtection="1">
      <alignment horizontal="center" vertical="center"/>
      <protection locked="0"/>
    </xf>
    <xf numFmtId="2" fontId="21" fillId="0" borderId="0" xfId="221" applyNumberFormat="1" applyFont="1" applyFill="1" applyAlignment="1">
      <alignment horizontal="center" vertical="center"/>
      <protection/>
    </xf>
    <xf numFmtId="2" fontId="7" fillId="0" borderId="22" xfId="0" applyNumberFormat="1" applyFont="1" applyBorder="1" applyAlignment="1" applyProtection="1" quotePrefix="1">
      <alignment horizontal="center" vertical="center"/>
      <protection locked="0"/>
    </xf>
    <xf numFmtId="199" fontId="29" fillId="3" borderId="22" xfId="101" applyNumberFormat="1" applyFont="1" applyFill="1" applyBorder="1" applyAlignment="1">
      <alignment horizontal="center" vertical="center"/>
    </xf>
    <xf numFmtId="4" fontId="22" fillId="3" borderId="22" xfId="221" applyNumberFormat="1" applyFont="1" applyFill="1" applyBorder="1" applyAlignment="1">
      <alignment horizontal="center" vertical="center"/>
      <protection/>
    </xf>
    <xf numFmtId="2" fontId="33" fillId="3" borderId="22" xfId="221" applyNumberFormat="1" applyFont="1" applyFill="1" applyBorder="1" applyAlignment="1" applyProtection="1">
      <alignment horizontal="center" vertical="center"/>
      <protection locked="0"/>
    </xf>
    <xf numFmtId="3" fontId="21" fillId="0" borderId="22" xfId="221" applyNumberFormat="1" applyFont="1" applyFill="1" applyBorder="1" applyAlignment="1" applyProtection="1">
      <alignment horizontal="center" vertical="center"/>
      <protection locked="0"/>
    </xf>
    <xf numFmtId="199" fontId="21" fillId="0" borderId="22" xfId="101" applyNumberFormat="1" applyFont="1" applyFill="1" applyBorder="1" applyAlignment="1" applyProtection="1">
      <alignment horizontal="center" vertical="center"/>
      <protection locked="0"/>
    </xf>
    <xf numFmtId="3" fontId="21" fillId="41" borderId="22" xfId="221" applyNumberFormat="1" applyFont="1" applyFill="1" applyBorder="1" applyAlignment="1" applyProtection="1">
      <alignment horizontal="center" vertical="center"/>
      <protection locked="0"/>
    </xf>
    <xf numFmtId="4" fontId="21" fillId="0" borderId="22" xfId="221" applyNumberFormat="1" applyFont="1" applyFill="1" applyBorder="1" applyAlignment="1" applyProtection="1">
      <alignment horizontal="center" vertical="center"/>
      <protection locked="0"/>
    </xf>
    <xf numFmtId="43" fontId="21" fillId="0" borderId="22" xfId="101" applyFont="1" applyFill="1" applyBorder="1" applyAlignment="1" applyProtection="1">
      <alignment horizontal="center" vertical="center"/>
      <protection locked="0"/>
    </xf>
    <xf numFmtId="43" fontId="21" fillId="41" borderId="22" xfId="101" applyFont="1" applyFill="1" applyBorder="1" applyAlignment="1" applyProtection="1">
      <alignment horizontal="center" vertical="center"/>
      <protection locked="0"/>
    </xf>
    <xf numFmtId="200" fontId="21" fillId="41" borderId="22" xfId="101" applyNumberFormat="1" applyFont="1" applyFill="1" applyBorder="1" applyAlignment="1" applyProtection="1">
      <alignment horizontal="center" vertical="center"/>
      <protection locked="0"/>
    </xf>
    <xf numFmtId="43" fontId="21" fillId="0" borderId="22" xfId="101" applyNumberFormat="1" applyFont="1" applyFill="1" applyBorder="1" applyAlignment="1" applyProtection="1">
      <alignment horizontal="center" vertical="center"/>
      <protection locked="0"/>
    </xf>
    <xf numFmtId="43" fontId="21" fillId="0" borderId="22" xfId="193" applyNumberFormat="1" applyFont="1" applyFill="1" applyBorder="1" applyAlignment="1" applyProtection="1">
      <alignment horizontal="center" vertical="center"/>
      <protection locked="0"/>
    </xf>
    <xf numFmtId="0" fontId="50" fillId="0" borderId="0" xfId="221" applyFont="1" applyFill="1" applyBorder="1" applyAlignment="1">
      <alignment horizontal="left"/>
      <protection/>
    </xf>
    <xf numFmtId="0" fontId="26" fillId="0" borderId="0" xfId="221" applyFont="1" applyFill="1" applyBorder="1" applyAlignment="1">
      <alignment horizontal="center"/>
      <protection/>
    </xf>
    <xf numFmtId="0" fontId="26" fillId="0" borderId="0" xfId="221" applyFont="1" applyFill="1" applyBorder="1" applyAlignment="1">
      <alignment horizontal="left"/>
      <protection/>
    </xf>
    <xf numFmtId="4" fontId="26" fillId="0" borderId="0" xfId="221" applyNumberFormat="1" applyFont="1" applyFill="1" applyBorder="1" applyAlignment="1">
      <alignment horizontal="left"/>
      <protection/>
    </xf>
    <xf numFmtId="3" fontId="26" fillId="0" borderId="0" xfId="221" applyNumberFormat="1" applyFont="1" applyFill="1" applyBorder="1" applyAlignment="1">
      <alignment horizontal="center"/>
      <protection/>
    </xf>
    <xf numFmtId="4" fontId="26" fillId="0" borderId="0" xfId="221" applyNumberFormat="1" applyFont="1" applyFill="1" applyBorder="1" applyAlignment="1">
      <alignment horizontal="center"/>
      <protection/>
    </xf>
    <xf numFmtId="3" fontId="26" fillId="0" borderId="0" xfId="101" applyNumberFormat="1" applyFont="1" applyFill="1" applyBorder="1" applyAlignment="1">
      <alignment horizontal="center"/>
    </xf>
    <xf numFmtId="43" fontId="26" fillId="0" borderId="0" xfId="101" applyFont="1" applyFill="1" applyBorder="1" applyAlignment="1">
      <alignment horizontal="center"/>
    </xf>
    <xf numFmtId="199" fontId="26" fillId="0" borderId="0" xfId="101" applyNumberFormat="1" applyFont="1" applyFill="1" applyBorder="1" applyAlignment="1">
      <alignment horizontal="center" vertical="center"/>
    </xf>
    <xf numFmtId="199" fontId="26" fillId="0" borderId="0" xfId="101" applyNumberFormat="1" applyFont="1" applyFill="1" applyBorder="1" applyAlignment="1">
      <alignment horizontal="center"/>
    </xf>
    <xf numFmtId="2" fontId="26" fillId="0" borderId="0" xfId="221" applyNumberFormat="1" applyFont="1" applyFill="1" applyBorder="1" applyAlignment="1">
      <alignment horizontal="center"/>
      <protection/>
    </xf>
    <xf numFmtId="2" fontId="51" fillId="0" borderId="0" xfId="221" applyNumberFormat="1" applyFont="1" applyFill="1" applyBorder="1" applyAlignment="1">
      <alignment horizontal="center"/>
      <protection/>
    </xf>
    <xf numFmtId="4" fontId="51" fillId="0" borderId="0" xfId="221" applyNumberFormat="1" applyFont="1" applyFill="1" applyBorder="1" applyAlignment="1">
      <alignment horizontal="center"/>
      <protection/>
    </xf>
    <xf numFmtId="0" fontId="26" fillId="0" borderId="0" xfId="221" applyFont="1" applyFill="1" applyAlignment="1">
      <alignment/>
      <protection/>
    </xf>
    <xf numFmtId="0" fontId="11" fillId="0" borderId="0" xfId="221" applyFont="1" applyFill="1" applyBorder="1" applyAlignment="1">
      <alignment horizontal="center"/>
      <protection/>
    </xf>
    <xf numFmtId="0" fontId="11" fillId="0" borderId="0" xfId="221" applyFont="1" applyFill="1" applyAlignment="1">
      <alignment/>
      <protection/>
    </xf>
    <xf numFmtId="4" fontId="26" fillId="0" borderId="0" xfId="221" applyNumberFormat="1" applyFont="1" applyFill="1" applyAlignment="1">
      <alignment horizontal="center"/>
      <protection/>
    </xf>
    <xf numFmtId="4" fontId="51" fillId="0" borderId="0" xfId="221" applyNumberFormat="1" applyFont="1" applyFill="1" applyAlignment="1">
      <alignment horizontal="center"/>
      <protection/>
    </xf>
    <xf numFmtId="4" fontId="11" fillId="0" borderId="0" xfId="221" applyNumberFormat="1" applyFont="1" applyFill="1" applyAlignment="1">
      <alignment horizontal="left"/>
      <protection/>
    </xf>
    <xf numFmtId="4" fontId="11" fillId="0" borderId="0" xfId="221" applyNumberFormat="1" applyFont="1" applyFill="1" applyAlignment="1">
      <alignment horizontal="center"/>
      <protection/>
    </xf>
    <xf numFmtId="4" fontId="52" fillId="0" borderId="0" xfId="221" applyNumberFormat="1" applyFont="1" applyFill="1" applyAlignment="1">
      <alignment horizontal="center"/>
      <protection/>
    </xf>
    <xf numFmtId="0" fontId="11" fillId="0" borderId="0" xfId="221" applyFont="1" applyFill="1" applyAlignment="1">
      <alignment horizontal="left"/>
      <protection/>
    </xf>
    <xf numFmtId="3" fontId="11" fillId="0" borderId="0" xfId="221" applyNumberFormat="1" applyFont="1" applyFill="1" applyAlignment="1">
      <alignment horizontal="center"/>
      <protection/>
    </xf>
    <xf numFmtId="0" fontId="11" fillId="0" borderId="0" xfId="221" applyFont="1" applyFill="1" applyAlignment="1">
      <alignment horizontal="center" vertical="center"/>
      <protection/>
    </xf>
    <xf numFmtId="199" fontId="11" fillId="0" borderId="0" xfId="101" applyNumberFormat="1" applyFont="1" applyFill="1" applyAlignment="1">
      <alignment horizontal="center"/>
    </xf>
    <xf numFmtId="0" fontId="53" fillId="0" borderId="0" xfId="221" applyFont="1" applyFill="1" applyAlignment="1">
      <alignment horizontal="center"/>
      <protection/>
    </xf>
    <xf numFmtId="2" fontId="54" fillId="0" borderId="0" xfId="221" applyNumberFormat="1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202" fontId="11" fillId="0" borderId="0" xfId="221" applyNumberFormat="1" applyFont="1" applyFill="1" applyAlignment="1">
      <alignment horizontal="center"/>
      <protection/>
    </xf>
    <xf numFmtId="0" fontId="3" fillId="0" borderId="0" xfId="221" applyFont="1" applyFill="1" applyAlignment="1">
      <alignment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56" fillId="56" borderId="56" xfId="0" applyFont="1" applyFill="1" applyBorder="1" applyAlignment="1">
      <alignment horizontal="center"/>
    </xf>
    <xf numFmtId="203" fontId="54" fillId="0" borderId="22" xfId="0" applyNumberFormat="1" applyFont="1" applyBorder="1" applyAlignment="1">
      <alignment horizontal="center"/>
    </xf>
    <xf numFmtId="203" fontId="54" fillId="0" borderId="22" xfId="0" applyNumberFormat="1" applyFont="1" applyBorder="1" applyAlignment="1" applyProtection="1">
      <alignment horizontal="center"/>
      <protection locked="0"/>
    </xf>
    <xf numFmtId="15" fontId="54" fillId="56" borderId="21" xfId="0" applyNumberFormat="1" applyFont="1" applyFill="1" applyBorder="1" applyAlignment="1">
      <alignment horizontal="center"/>
    </xf>
    <xf numFmtId="0" fontId="54" fillId="0" borderId="22" xfId="0" applyFont="1" applyBorder="1" applyAlignment="1">
      <alignment/>
    </xf>
    <xf numFmtId="4" fontId="54" fillId="0" borderId="22" xfId="221" applyNumberFormat="1" applyFont="1" applyFill="1" applyBorder="1" applyAlignment="1">
      <alignment horizontal="center" vertical="center"/>
      <protection/>
    </xf>
    <xf numFmtId="4" fontId="54" fillId="56" borderId="22" xfId="221" applyNumberFormat="1" applyFont="1" applyFill="1" applyBorder="1" applyAlignment="1">
      <alignment horizontal="center" vertical="center"/>
      <protection/>
    </xf>
    <xf numFmtId="4" fontId="54" fillId="56" borderId="22" xfId="221" applyNumberFormat="1" applyFont="1" applyFill="1" applyBorder="1" applyAlignment="1" applyProtection="1">
      <alignment horizontal="center" vertical="center"/>
      <protection locked="0"/>
    </xf>
    <xf numFmtId="3" fontId="54" fillId="56" borderId="22" xfId="221" applyNumberFormat="1" applyFont="1" applyFill="1" applyBorder="1" applyAlignment="1">
      <alignment horizontal="center" vertical="center"/>
      <protection/>
    </xf>
    <xf numFmtId="4" fontId="57" fillId="56" borderId="22" xfId="0" applyNumberFormat="1" applyFont="1" applyFill="1" applyBorder="1" applyAlignment="1">
      <alignment/>
    </xf>
    <xf numFmtId="4" fontId="48" fillId="0" borderId="0" xfId="221" applyNumberFormat="1" applyFont="1" applyFill="1" applyAlignment="1">
      <alignment horizontal="center"/>
      <protection/>
    </xf>
    <xf numFmtId="0" fontId="48" fillId="0" borderId="0" xfId="221" applyFont="1" applyFill="1" applyAlignment="1">
      <alignment horizontal="center"/>
      <protection/>
    </xf>
    <xf numFmtId="0" fontId="4" fillId="0" borderId="57" xfId="0" applyFont="1" applyBorder="1" applyAlignment="1">
      <alignment/>
    </xf>
    <xf numFmtId="4" fontId="4" fillId="0" borderId="57" xfId="0" applyNumberFormat="1" applyFont="1" applyBorder="1" applyAlignment="1">
      <alignment horizontal="center" vertical="center"/>
    </xf>
    <xf numFmtId="4" fontId="4" fillId="56" borderId="57" xfId="0" applyNumberFormat="1" applyFont="1" applyFill="1" applyBorder="1" applyAlignment="1">
      <alignment horizontal="center" vertical="center"/>
    </xf>
    <xf numFmtId="3" fontId="4" fillId="56" borderId="57" xfId="0" applyNumberFormat="1" applyFont="1" applyFill="1" applyBorder="1" applyAlignment="1">
      <alignment horizontal="center" vertical="center"/>
    </xf>
    <xf numFmtId="0" fontId="54" fillId="0" borderId="21" xfId="0" applyFont="1" applyBorder="1" applyAlignment="1">
      <alignment/>
    </xf>
    <xf numFmtId="4" fontId="54" fillId="0" borderId="21" xfId="221" applyNumberFormat="1" applyFont="1" applyFill="1" applyBorder="1" applyAlignment="1">
      <alignment horizontal="center" vertical="center"/>
      <protection/>
    </xf>
    <xf numFmtId="4" fontId="54" fillId="56" borderId="21" xfId="221" applyNumberFormat="1" applyFont="1" applyFill="1" applyBorder="1" applyAlignment="1">
      <alignment horizontal="center" vertical="center"/>
      <protection/>
    </xf>
    <xf numFmtId="4" fontId="54" fillId="56" borderId="21" xfId="221" applyNumberFormat="1" applyFont="1" applyFill="1" applyBorder="1" applyAlignment="1" applyProtection="1">
      <alignment horizontal="center" vertical="center"/>
      <protection locked="0"/>
    </xf>
    <xf numFmtId="3" fontId="54" fillId="56" borderId="21" xfId="221" applyNumberFormat="1" applyFont="1" applyFill="1" applyBorder="1" applyAlignment="1">
      <alignment horizontal="center" vertical="center"/>
      <protection/>
    </xf>
    <xf numFmtId="4" fontId="11" fillId="0" borderId="0" xfId="223" applyNumberFormat="1" applyFont="1" applyFill="1" applyBorder="1" applyAlignment="1">
      <alignment horizontal="center" vertical="center"/>
      <protection/>
    </xf>
    <xf numFmtId="4" fontId="11" fillId="0" borderId="0" xfId="221" applyNumberFormat="1" applyFont="1" applyFill="1" applyBorder="1" applyAlignment="1">
      <alignment horizontal="center"/>
      <protection/>
    </xf>
    <xf numFmtId="194" fontId="11" fillId="0" borderId="0" xfId="193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 horizontal="center" vertical="center"/>
    </xf>
    <xf numFmtId="4" fontId="4" fillId="56" borderId="22" xfId="0" applyNumberFormat="1" applyFont="1" applyFill="1" applyBorder="1" applyAlignment="1">
      <alignment horizontal="center" vertical="center"/>
    </xf>
    <xf numFmtId="3" fontId="4" fillId="56" borderId="22" xfId="0" applyNumberFormat="1" applyFont="1" applyFill="1" applyBorder="1" applyAlignment="1">
      <alignment horizontal="center" vertical="center"/>
    </xf>
    <xf numFmtId="0" fontId="43" fillId="0" borderId="0" xfId="221" applyFont="1" applyFill="1" applyAlignment="1">
      <alignment horizontal="center"/>
      <protection/>
    </xf>
    <xf numFmtId="4" fontId="56" fillId="0" borderId="22" xfId="0" applyNumberFormat="1" applyFont="1" applyBorder="1" applyAlignment="1">
      <alignment horizontal="center" vertical="center"/>
    </xf>
    <xf numFmtId="4" fontId="56" fillId="56" borderId="22" xfId="0" applyNumberFormat="1" applyFont="1" applyFill="1" applyBorder="1" applyAlignment="1">
      <alignment horizontal="center" vertical="center"/>
    </xf>
    <xf numFmtId="3" fontId="56" fillId="56" borderId="22" xfId="0" applyNumberFormat="1" applyFont="1" applyFill="1" applyBorder="1" applyAlignment="1">
      <alignment horizontal="center" vertical="center"/>
    </xf>
    <xf numFmtId="0" fontId="43" fillId="0" borderId="0" xfId="221" applyFont="1" applyFill="1" applyBorder="1" applyAlignment="1">
      <alignment horizontal="center"/>
      <protection/>
    </xf>
    <xf numFmtId="0" fontId="4" fillId="0" borderId="0" xfId="221" applyFont="1" applyFill="1" applyAlignment="1">
      <alignment horizontal="left"/>
      <protection/>
    </xf>
    <xf numFmtId="0" fontId="54" fillId="0" borderId="0" xfId="221" applyFont="1" applyFill="1" applyAlignment="1">
      <alignment horizontal="center"/>
      <protection/>
    </xf>
    <xf numFmtId="0" fontId="58" fillId="0" borderId="58" xfId="221" applyFont="1" applyFill="1" applyBorder="1" applyAlignment="1">
      <alignment/>
      <protection/>
    </xf>
    <xf numFmtId="0" fontId="58" fillId="56" borderId="58" xfId="221" applyFont="1" applyFill="1" applyBorder="1" applyAlignment="1">
      <alignment/>
      <protection/>
    </xf>
    <xf numFmtId="0" fontId="54" fillId="0" borderId="0" xfId="0" applyFont="1" applyBorder="1" applyAlignment="1">
      <alignment/>
    </xf>
    <xf numFmtId="4" fontId="54" fillId="0" borderId="0" xfId="221" applyNumberFormat="1" applyFont="1" applyFill="1" applyAlignment="1">
      <alignment horizontal="center"/>
      <protection/>
    </xf>
    <xf numFmtId="4" fontId="57" fillId="0" borderId="0" xfId="221" applyNumberFormat="1" applyFont="1" applyFill="1" applyAlignment="1">
      <alignment horizontal="left"/>
      <protection/>
    </xf>
    <xf numFmtId="0" fontId="57" fillId="0" borderId="0" xfId="221" applyFont="1" applyFill="1" applyAlignment="1">
      <alignment/>
      <protection/>
    </xf>
    <xf numFmtId="0" fontId="59" fillId="0" borderId="5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221" applyFont="1" applyFill="1" applyAlignment="1">
      <alignment horizontal="left"/>
      <protection/>
    </xf>
    <xf numFmtId="0" fontId="59" fillId="0" borderId="60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/>
    </xf>
    <xf numFmtId="0" fontId="59" fillId="0" borderId="61" xfId="0" applyFont="1" applyBorder="1" applyAlignment="1">
      <alignment horizontal="center" vertical="center"/>
    </xf>
    <xf numFmtId="15" fontId="8" fillId="0" borderId="19" xfId="0" applyNumberFormat="1" applyFont="1" applyBorder="1" applyAlignment="1">
      <alignment horizontal="center"/>
    </xf>
    <xf numFmtId="15" fontId="8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221" applyNumberFormat="1" applyFont="1" applyFill="1" applyBorder="1" applyAlignment="1">
      <alignment horizontal="center" vertical="center"/>
      <protection/>
    </xf>
    <xf numFmtId="3" fontId="8" fillId="0" borderId="0" xfId="221" applyNumberFormat="1" applyFont="1" applyFill="1" applyBorder="1" applyAlignment="1">
      <alignment horizontal="center" vertical="center"/>
      <protection/>
    </xf>
    <xf numFmtId="4" fontId="60" fillId="0" borderId="0" xfId="0" applyNumberFormat="1" applyFont="1" applyBorder="1" applyAlignment="1">
      <alignment/>
    </xf>
    <xf numFmtId="0" fontId="11" fillId="0" borderId="0" xfId="221" applyFont="1" applyFill="1" applyBorder="1" applyAlignment="1">
      <alignment horizontal="center" vertical="center"/>
      <protection/>
    </xf>
    <xf numFmtId="4" fontId="61" fillId="0" borderId="0" xfId="221" applyNumberFormat="1" applyFont="1" applyFill="1" applyBorder="1" applyAlignment="1" applyProtection="1">
      <alignment vertical="center"/>
      <protection locked="0"/>
    </xf>
    <xf numFmtId="4" fontId="61" fillId="0" borderId="0" xfId="221" applyNumberFormat="1" applyFont="1" applyFill="1" applyBorder="1" applyAlignment="1">
      <alignment vertical="center"/>
      <protection/>
    </xf>
    <xf numFmtId="3" fontId="57" fillId="0" borderId="0" xfId="221" applyNumberFormat="1" applyFont="1" applyFill="1" applyBorder="1" applyAlignment="1">
      <alignment horizontal="left" vertical="center"/>
      <protection/>
    </xf>
    <xf numFmtId="4" fontId="61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/>
    </xf>
    <xf numFmtId="4" fontId="62" fillId="0" borderId="0" xfId="0" applyNumberFormat="1" applyFont="1" applyBorder="1" applyAlignment="1">
      <alignment horizontal="center" vertical="center"/>
    </xf>
    <xf numFmtId="3" fontId="62" fillId="0" borderId="0" xfId="0" applyNumberFormat="1" applyFont="1" applyBorder="1" applyAlignment="1">
      <alignment horizontal="center" vertical="center"/>
    </xf>
    <xf numFmtId="0" fontId="63" fillId="0" borderId="0" xfId="221" applyFont="1" applyFill="1" applyAlignment="1">
      <alignment horizontal="left"/>
      <protection/>
    </xf>
    <xf numFmtId="0" fontId="59" fillId="0" borderId="0" xfId="0" applyFont="1" applyBorder="1" applyAlignment="1">
      <alignment horizontal="center"/>
    </xf>
    <xf numFmtId="4" fontId="59" fillId="0" borderId="0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center" vertical="center"/>
    </xf>
    <xf numFmtId="0" fontId="64" fillId="0" borderId="0" xfId="221" applyFont="1" applyFill="1" applyAlignment="1">
      <alignment horizontal="left"/>
      <protection/>
    </xf>
    <xf numFmtId="0" fontId="16" fillId="0" borderId="0" xfId="221" applyFont="1" applyFill="1" applyAlignment="1">
      <alignment horizontal="left"/>
      <protection/>
    </xf>
    <xf numFmtId="4" fontId="11" fillId="61" borderId="33" xfId="0" applyNumberFormat="1" applyFont="1" applyFill="1" applyBorder="1" applyAlignment="1">
      <alignment horizontal="center" vertical="top"/>
    </xf>
    <xf numFmtId="4" fontId="112" fillId="56" borderId="22" xfId="221" applyNumberFormat="1" applyFont="1" applyFill="1" applyBorder="1" applyAlignment="1">
      <alignment horizontal="center" vertical="center"/>
      <protection/>
    </xf>
    <xf numFmtId="4" fontId="54" fillId="0" borderId="0" xfId="0" applyNumberFormat="1" applyFont="1" applyAlignment="1">
      <alignment/>
    </xf>
    <xf numFmtId="4" fontId="26" fillId="0" borderId="22" xfId="221" applyNumberFormat="1" applyFont="1" applyFill="1" applyBorder="1" applyAlignment="1" applyProtection="1">
      <alignment horizontal="left"/>
      <protection locked="0"/>
    </xf>
    <xf numFmtId="4" fontId="54" fillId="0" borderId="57" xfId="221" applyNumberFormat="1" applyFont="1" applyFill="1" applyBorder="1" applyAlignment="1">
      <alignment horizontal="center" vertical="center"/>
      <protection/>
    </xf>
    <xf numFmtId="4" fontId="44" fillId="56" borderId="0" xfId="221" applyNumberFormat="1" applyFont="1" applyFill="1" applyAlignment="1" applyProtection="1">
      <alignment horizontal="center" vertical="center"/>
      <protection locked="0"/>
    </xf>
    <xf numFmtId="0" fontId="20" fillId="56" borderId="22" xfId="221" applyFont="1" applyFill="1" applyBorder="1" applyAlignment="1" applyProtection="1">
      <alignment horizontal="center" vertical="center"/>
      <protection locked="0"/>
    </xf>
    <xf numFmtId="242" fontId="45" fillId="0" borderId="22" xfId="221" applyNumberFormat="1" applyFont="1" applyBorder="1" applyAlignment="1">
      <alignment horizontal="center" vertical="center"/>
      <protection/>
    </xf>
    <xf numFmtId="194" fontId="7" fillId="0" borderId="48" xfId="110" applyNumberFormat="1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4" fillId="0" borderId="58" xfId="221" applyFont="1" applyFill="1" applyBorder="1" applyAlignment="1">
      <alignment horizontal="left"/>
      <protection/>
    </xf>
    <xf numFmtId="0" fontId="56" fillId="0" borderId="0" xfId="0" applyFont="1" applyAlignment="1" applyProtection="1">
      <alignment horizontal="center"/>
      <protection locked="0"/>
    </xf>
    <xf numFmtId="0" fontId="56" fillId="0" borderId="59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56" borderId="24" xfId="0" applyFont="1" applyFill="1" applyBorder="1" applyAlignment="1">
      <alignment horizontal="center"/>
    </xf>
    <xf numFmtId="0" fontId="56" fillId="56" borderId="25" xfId="0" applyFont="1" applyFill="1" applyBorder="1" applyAlignment="1">
      <alignment horizontal="center"/>
    </xf>
    <xf numFmtId="0" fontId="56" fillId="56" borderId="19" xfId="0" applyFont="1" applyFill="1" applyBorder="1" applyAlignment="1">
      <alignment horizontal="center" vertical="center"/>
    </xf>
    <xf numFmtId="0" fontId="56" fillId="56" borderId="21" xfId="0" applyFont="1" applyFill="1" applyBorder="1" applyAlignment="1">
      <alignment horizontal="center" vertical="center"/>
    </xf>
    <xf numFmtId="0" fontId="34" fillId="56" borderId="66" xfId="221" applyFont="1" applyFill="1" applyBorder="1" applyAlignment="1">
      <alignment vertical="center"/>
      <protection/>
    </xf>
    <xf numFmtId="0" fontId="34" fillId="56" borderId="38" xfId="221" applyFont="1" applyFill="1" applyBorder="1" applyAlignment="1">
      <alignment vertical="center"/>
      <protection/>
    </xf>
    <xf numFmtId="0" fontId="34" fillId="56" borderId="43" xfId="221" applyFont="1" applyFill="1" applyBorder="1" applyAlignment="1">
      <alignment vertical="center"/>
      <protection/>
    </xf>
    <xf numFmtId="0" fontId="34" fillId="56" borderId="44" xfId="221" applyFont="1" applyFill="1" applyBorder="1" applyAlignment="1">
      <alignment vertical="center"/>
      <protection/>
    </xf>
    <xf numFmtId="2" fontId="35" fillId="56" borderId="38" xfId="221" applyNumberFormat="1" applyFont="1" applyFill="1" applyBorder="1" applyAlignment="1">
      <alignment horizontal="center" vertical="center"/>
      <protection/>
    </xf>
    <xf numFmtId="2" fontId="35" fillId="56" borderId="44" xfId="221" applyNumberFormat="1" applyFont="1" applyFill="1" applyBorder="1" applyAlignment="1">
      <alignment horizontal="center" vertical="center"/>
      <protection/>
    </xf>
    <xf numFmtId="0" fontId="34" fillId="56" borderId="67" xfId="221" applyFont="1" applyFill="1" applyBorder="1" applyAlignment="1">
      <alignment horizontal="center" vertical="center"/>
      <protection/>
    </xf>
    <xf numFmtId="0" fontId="34" fillId="56" borderId="45" xfId="221" applyFont="1" applyFill="1" applyBorder="1" applyAlignment="1">
      <alignment horizontal="center" vertical="center"/>
      <protection/>
    </xf>
    <xf numFmtId="0" fontId="24" fillId="3" borderId="24" xfId="221" applyFont="1" applyFill="1" applyBorder="1" applyAlignment="1">
      <alignment horizontal="center" vertical="center"/>
      <protection/>
    </xf>
    <xf numFmtId="0" fontId="24" fillId="3" borderId="25" xfId="22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3" fillId="3" borderId="24" xfId="221" applyFont="1" applyFill="1" applyBorder="1" applyAlignment="1">
      <alignment horizontal="center" vertical="center"/>
      <protection/>
    </xf>
    <xf numFmtId="0" fontId="3" fillId="3" borderId="25" xfId="221" applyFont="1" applyFill="1" applyBorder="1" applyAlignment="1">
      <alignment horizontal="center" vertical="center"/>
      <protection/>
    </xf>
    <xf numFmtId="0" fontId="24" fillId="0" borderId="68" xfId="221" applyFont="1" applyFill="1" applyBorder="1" applyAlignment="1">
      <alignment horizontal="left"/>
      <protection/>
    </xf>
    <xf numFmtId="0" fontId="24" fillId="0" borderId="46" xfId="221" applyFont="1" applyFill="1" applyBorder="1" applyAlignment="1">
      <alignment horizontal="left"/>
      <protection/>
    </xf>
    <xf numFmtId="0" fontId="24" fillId="0" borderId="47" xfId="221" applyFont="1" applyFill="1" applyBorder="1" applyAlignment="1">
      <alignment horizontal="left"/>
      <protection/>
    </xf>
    <xf numFmtId="0" fontId="21" fillId="0" borderId="40" xfId="221" applyFont="1" applyFill="1" applyBorder="1" applyAlignment="1">
      <alignment horizontal="left"/>
      <protection/>
    </xf>
    <xf numFmtId="0" fontId="21" fillId="0" borderId="0" xfId="221" applyFont="1" applyFill="1" applyBorder="1" applyAlignment="1">
      <alignment horizontal="left"/>
      <protection/>
    </xf>
    <xf numFmtId="0" fontId="22" fillId="56" borderId="41" xfId="221" applyFont="1" applyFill="1" applyBorder="1" applyAlignment="1">
      <alignment horizontal="left" vertical="center"/>
      <protection/>
    </xf>
    <xf numFmtId="0" fontId="22" fillId="56" borderId="49" xfId="221" applyFont="1" applyFill="1" applyBorder="1" applyAlignment="1">
      <alignment horizontal="left" vertical="center"/>
      <protection/>
    </xf>
    <xf numFmtId="0" fontId="22" fillId="56" borderId="69" xfId="221" applyFont="1" applyFill="1" applyBorder="1" applyAlignment="1">
      <alignment horizontal="left" vertical="center"/>
      <protection/>
    </xf>
    <xf numFmtId="0" fontId="22" fillId="56" borderId="70" xfId="221" applyFont="1" applyFill="1" applyBorder="1" applyAlignment="1">
      <alignment horizontal="left" vertical="center"/>
      <protection/>
    </xf>
    <xf numFmtId="0" fontId="24" fillId="0" borderId="37" xfId="221" applyFont="1" applyFill="1" applyBorder="1" applyAlignment="1">
      <alignment horizontal="left"/>
      <protection/>
    </xf>
    <xf numFmtId="0" fontId="24" fillId="0" borderId="38" xfId="221" applyFont="1" applyFill="1" applyBorder="1" applyAlignment="1">
      <alignment horizontal="left"/>
      <protection/>
    </xf>
    <xf numFmtId="0" fontId="24" fillId="0" borderId="30" xfId="221" applyFont="1" applyFill="1" applyBorder="1" applyAlignment="1">
      <alignment horizontal="left"/>
      <protection/>
    </xf>
    <xf numFmtId="0" fontId="24" fillId="0" borderId="0" xfId="221" applyFont="1" applyFill="1" applyBorder="1" applyAlignment="1">
      <alignment horizontal="left"/>
      <protection/>
    </xf>
    <xf numFmtId="0" fontId="21" fillId="0" borderId="30" xfId="221" applyFont="1" applyFill="1" applyBorder="1" applyAlignment="1">
      <alignment horizontal="left"/>
      <protection/>
    </xf>
    <xf numFmtId="0" fontId="22" fillId="0" borderId="41" xfId="221" applyFont="1" applyFill="1" applyBorder="1" applyAlignment="1">
      <alignment horizontal="center" vertical="center"/>
      <protection/>
    </xf>
    <xf numFmtId="0" fontId="22" fillId="0" borderId="49" xfId="221" applyFont="1" applyFill="1" applyBorder="1" applyAlignment="1">
      <alignment horizontal="center" vertical="center"/>
      <protection/>
    </xf>
    <xf numFmtId="0" fontId="22" fillId="0" borderId="42" xfId="221" applyFont="1" applyFill="1" applyBorder="1" applyAlignment="1">
      <alignment horizontal="center" vertical="center"/>
      <protection/>
    </xf>
    <xf numFmtId="0" fontId="24" fillId="56" borderId="37" xfId="221" applyFont="1" applyFill="1" applyBorder="1" applyAlignment="1">
      <alignment horizontal="left"/>
      <protection/>
    </xf>
    <xf numFmtId="0" fontId="24" fillId="56" borderId="38" xfId="221" applyFont="1" applyFill="1" applyBorder="1" applyAlignment="1">
      <alignment horizontal="left"/>
      <protection/>
    </xf>
    <xf numFmtId="4" fontId="9" fillId="4" borderId="24" xfId="221" applyNumberFormat="1" applyFont="1" applyFill="1" applyBorder="1" applyAlignment="1">
      <alignment horizontal="center"/>
      <protection/>
    </xf>
    <xf numFmtId="4" fontId="9" fillId="3" borderId="24" xfId="221" applyNumberFormat="1" applyFont="1" applyFill="1" applyBorder="1" applyAlignment="1">
      <alignment horizontal="center"/>
      <protection/>
    </xf>
    <xf numFmtId="4" fontId="9" fillId="3" borderId="27" xfId="221" applyNumberFormat="1" applyFont="1" applyFill="1" applyBorder="1" applyAlignment="1">
      <alignment horizontal="center"/>
      <protection/>
    </xf>
    <xf numFmtId="4" fontId="9" fillId="3" borderId="25" xfId="221" applyNumberFormat="1" applyFont="1" applyFill="1" applyBorder="1" applyAlignment="1">
      <alignment horizontal="center"/>
      <protection/>
    </xf>
    <xf numFmtId="4" fontId="9" fillId="55" borderId="24" xfId="221" applyNumberFormat="1" applyFont="1" applyFill="1" applyBorder="1" applyAlignment="1">
      <alignment horizontal="center"/>
      <protection/>
    </xf>
    <xf numFmtId="0" fontId="19" fillId="0" borderId="37" xfId="221" applyFont="1" applyFill="1" applyBorder="1" applyAlignment="1">
      <alignment horizontal="left"/>
      <protection/>
    </xf>
    <xf numFmtId="0" fontId="19" fillId="0" borderId="38" xfId="221" applyFont="1" applyFill="1" applyBorder="1" applyAlignment="1">
      <alignment horizontal="left"/>
      <protection/>
    </xf>
    <xf numFmtId="0" fontId="3" fillId="0" borderId="0" xfId="221" applyFont="1" applyFill="1" applyBorder="1" applyAlignment="1" applyProtection="1">
      <alignment horizontal="center"/>
      <protection locked="0"/>
    </xf>
    <xf numFmtId="0" fontId="9" fillId="41" borderId="19" xfId="221" applyFont="1" applyFill="1" applyBorder="1" applyAlignment="1">
      <alignment horizontal="center" vertical="center"/>
      <protection/>
    </xf>
    <xf numFmtId="0" fontId="9" fillId="41" borderId="20" xfId="221" applyFont="1" applyFill="1" applyBorder="1" applyAlignment="1">
      <alignment horizontal="center" vertical="center"/>
      <protection/>
    </xf>
    <xf numFmtId="0" fontId="9" fillId="41" borderId="21" xfId="221" applyFont="1" applyFill="1" applyBorder="1" applyAlignment="1">
      <alignment horizontal="center" vertical="center"/>
      <protection/>
    </xf>
    <xf numFmtId="0" fontId="9" fillId="41" borderId="19" xfId="221" applyFont="1" applyFill="1" applyBorder="1" applyAlignment="1">
      <alignment horizontal="center" vertical="center" wrapText="1"/>
      <protection/>
    </xf>
    <xf numFmtId="0" fontId="9" fillId="41" borderId="20" xfId="221" applyFont="1" applyFill="1" applyBorder="1" applyAlignment="1">
      <alignment horizontal="center" vertical="center" wrapText="1"/>
      <protection/>
    </xf>
    <xf numFmtId="0" fontId="9" fillId="41" borderId="21" xfId="221" applyFont="1" applyFill="1" applyBorder="1" applyAlignment="1">
      <alignment horizontal="center" vertical="center" wrapText="1"/>
      <protection/>
    </xf>
    <xf numFmtId="4" fontId="9" fillId="41" borderId="59" xfId="221" applyNumberFormat="1" applyFont="1" applyFill="1" applyBorder="1" applyAlignment="1">
      <alignment horizontal="center" vertical="center"/>
      <protection/>
    </xf>
    <xf numFmtId="4" fontId="9" fillId="41" borderId="56" xfId="221" applyNumberFormat="1" applyFont="1" applyFill="1" applyBorder="1" applyAlignment="1">
      <alignment horizontal="center" vertical="center"/>
      <protection/>
    </xf>
    <xf numFmtId="4" fontId="9" fillId="41" borderId="64" xfId="221" applyNumberFormat="1" applyFont="1" applyFill="1" applyBorder="1" applyAlignment="1">
      <alignment horizontal="center" vertical="center"/>
      <protection/>
    </xf>
    <xf numFmtId="4" fontId="9" fillId="41" borderId="65" xfId="221" applyNumberFormat="1" applyFont="1" applyFill="1" applyBorder="1" applyAlignment="1">
      <alignment horizontal="center" vertical="center"/>
      <protection/>
    </xf>
    <xf numFmtId="4" fontId="9" fillId="41" borderId="59" xfId="221" applyNumberFormat="1" applyFont="1" applyFill="1" applyBorder="1" applyAlignment="1">
      <alignment horizontal="center" vertical="center" wrapText="1"/>
      <protection/>
    </xf>
    <xf numFmtId="4" fontId="9" fillId="7" borderId="24" xfId="221" applyNumberFormat="1" applyFont="1" applyFill="1" applyBorder="1" applyAlignment="1">
      <alignment horizontal="center"/>
      <protection/>
    </xf>
    <xf numFmtId="0" fontId="10" fillId="41" borderId="19" xfId="221" applyFont="1" applyFill="1" applyBorder="1" applyAlignment="1">
      <alignment horizontal="center" vertical="center"/>
      <protection/>
    </xf>
    <xf numFmtId="0" fontId="10" fillId="41" borderId="20" xfId="221" applyFont="1" applyFill="1" applyBorder="1" applyAlignment="1">
      <alignment horizontal="center" vertical="center"/>
      <protection/>
    </xf>
    <xf numFmtId="0" fontId="10" fillId="41" borderId="21" xfId="221" applyFont="1" applyFill="1" applyBorder="1" applyAlignment="1">
      <alignment horizontal="center" vertical="center"/>
      <protection/>
    </xf>
    <xf numFmtId="0" fontId="11" fillId="41" borderId="59" xfId="221" applyFont="1" applyFill="1" applyBorder="1" applyAlignment="1">
      <alignment horizontal="center" vertical="center"/>
      <protection/>
    </xf>
    <xf numFmtId="0" fontId="11" fillId="41" borderId="60" xfId="221" applyFont="1" applyFill="1" applyBorder="1" applyAlignment="1">
      <alignment horizontal="center" vertical="center"/>
      <protection/>
    </xf>
    <xf numFmtId="0" fontId="11" fillId="41" borderId="64" xfId="221" applyFont="1" applyFill="1" applyBorder="1" applyAlignment="1">
      <alignment horizontal="center" vertical="center"/>
      <protection/>
    </xf>
  </cellXfs>
  <cellStyles count="26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3 2 3" xfId="24"/>
    <cellStyle name="20% - Accent4" xfId="25"/>
    <cellStyle name="20% - Accent4 2" xfId="26"/>
    <cellStyle name="20% - Accent4 2 2" xfId="27"/>
    <cellStyle name="20% - Accent5" xfId="28"/>
    <cellStyle name="20% - Accent5 2" xfId="29"/>
    <cellStyle name="20% - Accent5 2 2" xfId="30"/>
    <cellStyle name="20% - Accent6" xfId="31"/>
    <cellStyle name="20% - Accent6 2" xfId="32"/>
    <cellStyle name="20% - Accent6 2 2" xfId="33"/>
    <cellStyle name="20% - ส่วนที่ถูกเน้น1" xfId="34"/>
    <cellStyle name="20% - ส่วนที่ถูกเน้น2" xfId="35"/>
    <cellStyle name="20% - ส่วนที่ถูกเน้น3" xfId="36"/>
    <cellStyle name="20% - ส่วนที่ถูกเน้น4" xfId="37"/>
    <cellStyle name="20% - ส่วนที่ถูกเน้น5" xfId="38"/>
    <cellStyle name="20% - ส่วนที่ถูกเน้น6" xfId="39"/>
    <cellStyle name="40% - Accent1" xfId="40"/>
    <cellStyle name="40% - Accent1 2" xfId="41"/>
    <cellStyle name="40% - Accent1 2 2" xfId="42"/>
    <cellStyle name="40% - Accent2" xfId="43"/>
    <cellStyle name="40% - Accent2 2" xfId="44"/>
    <cellStyle name="40% - Accent2 2 2" xfId="45"/>
    <cellStyle name="40% - Accent3" xfId="46"/>
    <cellStyle name="40% - Accent3 2" xfId="47"/>
    <cellStyle name="40% - Accent3 2 2" xfId="48"/>
    <cellStyle name="40% - Accent4" xfId="49"/>
    <cellStyle name="40% - Accent4 2" xfId="50"/>
    <cellStyle name="40% - Accent4 2 2" xfId="51"/>
    <cellStyle name="40% - Accent5" xfId="52"/>
    <cellStyle name="40% - Accent5 2" xfId="53"/>
    <cellStyle name="40% - Accent5 2 2" xfId="54"/>
    <cellStyle name="40% - Accent6" xfId="55"/>
    <cellStyle name="40% - Accent6 2" xfId="56"/>
    <cellStyle name="40% - Accent6 2 2" xfId="57"/>
    <cellStyle name="40% - ส่วนที่ถูกเน้น1" xfId="58"/>
    <cellStyle name="40% - ส่วนที่ถูกเน้น2" xfId="59"/>
    <cellStyle name="40% - ส่วนที่ถูกเน้น3" xfId="60"/>
    <cellStyle name="40% - ส่วนที่ถูกเน้น4" xfId="61"/>
    <cellStyle name="40% - ส่วนที่ถูกเน้น5" xfId="62"/>
    <cellStyle name="40% - ส่วนที่ถูกเน้น6" xfId="63"/>
    <cellStyle name="60% - Accent1" xfId="64"/>
    <cellStyle name="60% - Accent1 2" xfId="65"/>
    <cellStyle name="60% - Accent2" xfId="66"/>
    <cellStyle name="60% - Accent2 2" xfId="67"/>
    <cellStyle name="60% - Accent3" xfId="68"/>
    <cellStyle name="60% - Accent3 2" xfId="69"/>
    <cellStyle name="60% - Accent4" xfId="70"/>
    <cellStyle name="60% - Accent4 2" xfId="71"/>
    <cellStyle name="60% - Accent5" xfId="72"/>
    <cellStyle name="60% - Accent5 2" xfId="73"/>
    <cellStyle name="60% - Accent6" xfId="74"/>
    <cellStyle name="60% - Accent6 2" xfId="75"/>
    <cellStyle name="60% - ส่วนที่ถูกเน้น1" xfId="76"/>
    <cellStyle name="60% - ส่วนที่ถูกเน้น2" xfId="77"/>
    <cellStyle name="60% - ส่วนที่ถูกเน้น3" xfId="78"/>
    <cellStyle name="60% - ส่วนที่ถูกเน้น4" xfId="79"/>
    <cellStyle name="60% - ส่วนที่ถูกเน้น5" xfId="80"/>
    <cellStyle name="60% - ส่วนที่ถูกเน้น6" xfId="81"/>
    <cellStyle name="79,176.61" xfId="82"/>
    <cellStyle name="Accent1" xfId="83"/>
    <cellStyle name="Accent1 2" xfId="84"/>
    <cellStyle name="Accent2" xfId="85"/>
    <cellStyle name="Accent2 2" xfId="86"/>
    <cellStyle name="Accent3" xfId="87"/>
    <cellStyle name="Accent3 2" xfId="88"/>
    <cellStyle name="Accent4" xfId="89"/>
    <cellStyle name="Accent4 2" xfId="90"/>
    <cellStyle name="Accent5" xfId="91"/>
    <cellStyle name="Accent5 2" xfId="92"/>
    <cellStyle name="Accent6" xfId="93"/>
    <cellStyle name="Accent6 2" xfId="94"/>
    <cellStyle name="Bad" xfId="95"/>
    <cellStyle name="Bad 2" xfId="96"/>
    <cellStyle name="Calculation" xfId="97"/>
    <cellStyle name="Calculation 2" xfId="98"/>
    <cellStyle name="Check Cell" xfId="99"/>
    <cellStyle name="Check Cell 2" xfId="100"/>
    <cellStyle name="Comma" xfId="101"/>
    <cellStyle name="Comma [0]" xfId="102"/>
    <cellStyle name="Comma 2" xfId="103"/>
    <cellStyle name="Comma 2 2" xfId="104"/>
    <cellStyle name="Comma 2 2 2" xfId="105"/>
    <cellStyle name="Comma 2 2 3" xfId="106"/>
    <cellStyle name="Comma 2 3" xfId="107"/>
    <cellStyle name="Comma 2 3 2" xfId="108"/>
    <cellStyle name="Comma 2 4" xfId="109"/>
    <cellStyle name="Comma 3" xfId="110"/>
    <cellStyle name="Comma 3 2" xfId="111"/>
    <cellStyle name="Comma 3 3" xfId="112"/>
    <cellStyle name="Comma 4" xfId="113"/>
    <cellStyle name="Comma 4 2" xfId="114"/>
    <cellStyle name="Comma 4 2 2" xfId="115"/>
    <cellStyle name="Comma 4 3" xfId="116"/>
    <cellStyle name="Comma 4 4" xfId="117"/>
    <cellStyle name="Comma 5" xfId="118"/>
    <cellStyle name="Comma 6" xfId="119"/>
    <cellStyle name="comma zerodec" xfId="120"/>
    <cellStyle name="Currency" xfId="121"/>
    <cellStyle name="Currency [0]" xfId="122"/>
    <cellStyle name="Currency1" xfId="123"/>
    <cellStyle name="Dollar (zero dec)" xfId="124"/>
    <cellStyle name="Explanatory Text" xfId="125"/>
    <cellStyle name="Explanatory Text 2" xfId="126"/>
    <cellStyle name="Followed Hyperlink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Input" xfId="139"/>
    <cellStyle name="Input 2" xfId="140"/>
    <cellStyle name="Linked Cell" xfId="141"/>
    <cellStyle name="Linked Cell 2" xfId="142"/>
    <cellStyle name="Neutral" xfId="143"/>
    <cellStyle name="Neutral 2" xfId="144"/>
    <cellStyle name="Normal 2" xfId="145"/>
    <cellStyle name="Normal 2 2" xfId="146"/>
    <cellStyle name="Normal 2 2 2" xfId="147"/>
    <cellStyle name="Normal 2 3" xfId="148"/>
    <cellStyle name="Normal 2 3 2" xfId="149"/>
    <cellStyle name="Normal 2 3 3" xfId="150"/>
    <cellStyle name="Normal 2 4" xfId="151"/>
    <cellStyle name="Normal 2 4 2" xfId="152"/>
    <cellStyle name="Normal 3" xfId="153"/>
    <cellStyle name="Normal 3 2" xfId="154"/>
    <cellStyle name="Normal 4" xfId="155"/>
    <cellStyle name="Normal 4 2" xfId="156"/>
    <cellStyle name="Normal 4 2 2" xfId="157"/>
    <cellStyle name="Normal 4 3" xfId="158"/>
    <cellStyle name="Normal 5" xfId="159"/>
    <cellStyle name="Normal 5 2" xfId="160"/>
    <cellStyle name="Normal 5 2 2" xfId="161"/>
    <cellStyle name="Normal 5 3" xfId="162"/>
    <cellStyle name="Normal 6" xfId="163"/>
    <cellStyle name="Normal 6 2" xfId="164"/>
    <cellStyle name="Normal 6 3" xfId="165"/>
    <cellStyle name="Normal 7" xfId="166"/>
    <cellStyle name="Note" xfId="167"/>
    <cellStyle name="Note 2" xfId="168"/>
    <cellStyle name="Output" xfId="169"/>
    <cellStyle name="Output 2" xfId="170"/>
    <cellStyle name="Percent" xfId="171"/>
    <cellStyle name="Percent 2" xfId="172"/>
    <cellStyle name="Percent 3" xfId="173"/>
    <cellStyle name="Title" xfId="174"/>
    <cellStyle name="Title 2" xfId="175"/>
    <cellStyle name="Total" xfId="176"/>
    <cellStyle name="Total 2" xfId="177"/>
    <cellStyle name="Warning Text" xfId="178"/>
    <cellStyle name="Warning Text 2" xfId="179"/>
    <cellStyle name="การคำนวณ" xfId="180"/>
    <cellStyle name="ข้อความเตือน" xfId="181"/>
    <cellStyle name="ข้อความอธิบาย" xfId="182"/>
    <cellStyle name="เครื่องหมายจุลภาค 2" xfId="183"/>
    <cellStyle name="เครื่องหมายจุลภาค 2 2" xfId="184"/>
    <cellStyle name="เครื่องหมายจุลภาค 2 2 2" xfId="185"/>
    <cellStyle name="เครื่องหมายจุลภาค 2 2 2 2" xfId="186"/>
    <cellStyle name="เครื่องหมายจุลภาค 2 2 3" xfId="187"/>
    <cellStyle name="เครื่องหมายจุลภาค 2 2 4" xfId="188"/>
    <cellStyle name="เครื่องหมายจุลภาค 2 248" xfId="189"/>
    <cellStyle name="เครื่องหมายจุลภาค 2 3" xfId="190"/>
    <cellStyle name="เครื่องหมายจุลภาค 2 3 2" xfId="191"/>
    <cellStyle name="เครื่องหมายจุลภาค 2 3 2 2" xfId="192"/>
    <cellStyle name="เครื่องหมายจุลภาค 2 3 2 3" xfId="193"/>
    <cellStyle name="เครื่องหมายจุลภาค 2 3 3" xfId="194"/>
    <cellStyle name="เครื่องหมายจุลภาค 2 4" xfId="195"/>
    <cellStyle name="เครื่องหมายจุลภาค 2 4 2" xfId="196"/>
    <cellStyle name="เครื่องหมายจุลภาค 2 4 3" xfId="197"/>
    <cellStyle name="เครื่องหมายจุลภาค 3" xfId="198"/>
    <cellStyle name="เครื่องหมายจุลภาค 3 2" xfId="199"/>
    <cellStyle name="เครื่องหมายจุลภาค 3 2 2" xfId="200"/>
    <cellStyle name="เครื่องหมายจุลภาค 3 3" xfId="201"/>
    <cellStyle name="เครื่องหมายจุลภาค 4" xfId="202"/>
    <cellStyle name="เครื่องหมายจุลภาค 4 2" xfId="203"/>
    <cellStyle name="เครื่องหมายจุลภาค 5" xfId="204"/>
    <cellStyle name="เครื่องหมายจุลภาค 6" xfId="205"/>
    <cellStyle name="เครื่องหมายจุลภาค_RAIN_รายเดือน 50" xfId="206"/>
    <cellStyle name="จุลภาค 2" xfId="207"/>
    <cellStyle name="ชื่อเรื่อง" xfId="208"/>
    <cellStyle name="เซลล์ตรวจสอบ" xfId="209"/>
    <cellStyle name="เซลล์ที่มีการเชื่อมโยง" xfId="210"/>
    <cellStyle name="ดี" xfId="211"/>
    <cellStyle name="ดี 2" xfId="212"/>
    <cellStyle name="ปกติ 16" xfId="213"/>
    <cellStyle name="ปกติ 16 2" xfId="214"/>
    <cellStyle name="ปกติ 17" xfId="215"/>
    <cellStyle name="ปกติ 17 2" xfId="216"/>
    <cellStyle name="ปกติ 18" xfId="217"/>
    <cellStyle name="ปกติ 18 2" xfId="218"/>
    <cellStyle name="ปกติ 19" xfId="219"/>
    <cellStyle name="ปกติ 19 2" xfId="220"/>
    <cellStyle name="ปกติ 2" xfId="221"/>
    <cellStyle name="ปกติ 2 100" xfId="222"/>
    <cellStyle name="ปกติ 2 2" xfId="223"/>
    <cellStyle name="ปกติ 2 2 2" xfId="224"/>
    <cellStyle name="ปกติ 2 246" xfId="225"/>
    <cellStyle name="ปกติ 2 3" xfId="226"/>
    <cellStyle name="ปกติ 24" xfId="227"/>
    <cellStyle name="ปกติ 24 2" xfId="228"/>
    <cellStyle name="ปกติ 24 3" xfId="229"/>
    <cellStyle name="ปกติ 241" xfId="230"/>
    <cellStyle name="ปกติ 242" xfId="231"/>
    <cellStyle name="ปกติ 25" xfId="232"/>
    <cellStyle name="ปกติ 25 2" xfId="233"/>
    <cellStyle name="ปกติ 26" xfId="234"/>
    <cellStyle name="ปกติ 26 2" xfId="235"/>
    <cellStyle name="ปกติ 27" xfId="236"/>
    <cellStyle name="ปกติ 27 2" xfId="237"/>
    <cellStyle name="ปกติ 3" xfId="238"/>
    <cellStyle name="ปกติ 3 2" xfId="239"/>
    <cellStyle name="ปกติ 4" xfId="240"/>
    <cellStyle name="ปกติ 4 2" xfId="241"/>
    <cellStyle name="ปกติ 4 3" xfId="242"/>
    <cellStyle name="ปกติ 4 3 2" xfId="243"/>
    <cellStyle name="ปกติ 4_WaterLevel 2" xfId="244"/>
    <cellStyle name="ปกติ 5" xfId="245"/>
    <cellStyle name="ปกติ 5 2" xfId="246"/>
    <cellStyle name="ปกติ 6" xfId="247"/>
    <cellStyle name="ปกติ 6 2" xfId="248"/>
    <cellStyle name="ปกติ 6 3" xfId="249"/>
    <cellStyle name="ปกติ 7" xfId="250"/>
    <cellStyle name="ปกติ 8" xfId="251"/>
    <cellStyle name="ปกติ 8 2" xfId="252"/>
    <cellStyle name="ปกติ 9" xfId="253"/>
    <cellStyle name="ป้อนค่า" xfId="254"/>
    <cellStyle name="ปานกลาง" xfId="255"/>
    <cellStyle name="เปอร์เซ็นต์ 2" xfId="256"/>
    <cellStyle name="เปอร์เซ็นต์ 2 2" xfId="257"/>
    <cellStyle name="ผลรวม" xfId="258"/>
    <cellStyle name="แย่" xfId="259"/>
    <cellStyle name="ส่วนที่ถูกเน้น1" xfId="260"/>
    <cellStyle name="ส่วนที่ถูกเน้น2" xfId="261"/>
    <cellStyle name="ส่วนที่ถูกเน้น3" xfId="262"/>
    <cellStyle name="ส่วนที่ถูกเน้น4" xfId="263"/>
    <cellStyle name="ส่วนที่ถูกเน้น5" xfId="264"/>
    <cellStyle name="ส่วนที่ถูกเน้น6" xfId="265"/>
    <cellStyle name="แสดงผล" xfId="266"/>
    <cellStyle name="หมายเหตุ" xfId="267"/>
    <cellStyle name="หมายเหตุ 2" xfId="268"/>
    <cellStyle name="หมายเหตุ 2 2" xfId="269"/>
    <cellStyle name="หัวเรื่อง 1" xfId="270"/>
    <cellStyle name="หัวเรื่อง 2" xfId="271"/>
    <cellStyle name="หัวเรื่อง 3" xfId="272"/>
    <cellStyle name="หัวเรื่อง 4" xfId="27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5"/>
  <sheetViews>
    <sheetView showGridLines="0" tabSelected="1" zoomScale="60" zoomScaleNormal="60" zoomScaleSheetLayoutView="50" zoomScalePageLayoutView="0" workbookViewId="0" topLeftCell="W1">
      <pane ySplit="6" topLeftCell="A320" activePane="bottomLeft" state="frozen"/>
      <selection pane="topLeft" activeCell="A1" sqref="A1"/>
      <selection pane="bottomLeft" activeCell="AB320" sqref="AB320:AM335"/>
    </sheetView>
  </sheetViews>
  <sheetFormatPr defaultColWidth="9.140625" defaultRowHeight="15"/>
  <cols>
    <col min="1" max="1" width="21.7109375" style="13" customWidth="1"/>
    <col min="2" max="2" width="11.7109375" style="13" customWidth="1"/>
    <col min="3" max="3" width="47.421875" style="451" customWidth="1"/>
    <col min="4" max="5" width="10.140625" style="448" customWidth="1"/>
    <col min="6" max="6" width="9.57421875" style="448" customWidth="1"/>
    <col min="7" max="7" width="10.28125" style="448" customWidth="1"/>
    <col min="8" max="8" width="6.421875" style="452" customWidth="1"/>
    <col min="9" max="9" width="8.8515625" style="449" customWidth="1"/>
    <col min="10" max="10" width="6.8515625" style="452" customWidth="1"/>
    <col min="11" max="11" width="10.140625" style="13" bestFit="1" customWidth="1"/>
    <col min="12" max="12" width="9.421875" style="453" customWidth="1"/>
    <col min="13" max="13" width="13.00390625" style="449" customWidth="1"/>
    <col min="14" max="14" width="10.28125" style="449" bestFit="1" customWidth="1"/>
    <col min="15" max="15" width="6.421875" style="13" bestFit="1" customWidth="1"/>
    <col min="16" max="16" width="9.00390625" style="449" bestFit="1" customWidth="1"/>
    <col min="17" max="17" width="8.421875" style="449" customWidth="1"/>
    <col min="18" max="18" width="14.00390625" style="449" bestFit="1" customWidth="1"/>
    <col min="19" max="19" width="8.140625" style="13" customWidth="1"/>
    <col min="20" max="20" width="7.421875" style="13" customWidth="1"/>
    <col min="21" max="21" width="8.7109375" style="449" customWidth="1"/>
    <col min="22" max="22" width="8.8515625" style="449" customWidth="1"/>
    <col min="23" max="23" width="12.421875" style="449" bestFit="1" customWidth="1"/>
    <col min="24" max="24" width="11.7109375" style="450" customWidth="1"/>
    <col min="25" max="25" width="22.8515625" style="449" customWidth="1"/>
    <col min="26" max="26" width="1.7109375" style="13" hidden="1" customWidth="1"/>
    <col min="27" max="27" width="9.57421875" style="13" customWidth="1"/>
    <col min="28" max="28" width="18.140625" style="11" customWidth="1"/>
    <col min="29" max="29" width="22.8515625" style="11" customWidth="1"/>
    <col min="30" max="32" width="14.28125" style="11" customWidth="1"/>
    <col min="33" max="33" width="14.8515625" style="11" customWidth="1"/>
    <col min="34" max="34" width="13.7109375" style="13" customWidth="1"/>
    <col min="35" max="35" width="13.57421875" style="11" customWidth="1"/>
    <col min="36" max="36" width="14.00390625" style="13" customWidth="1"/>
    <col min="37" max="37" width="13.421875" style="11" customWidth="1"/>
    <col min="38" max="38" width="13.7109375" style="11" customWidth="1"/>
    <col min="39" max="39" width="18.140625" style="13" customWidth="1"/>
    <col min="40" max="40" width="18.421875" style="13" customWidth="1"/>
    <col min="41" max="41" width="14.421875" style="13" customWidth="1"/>
    <col min="42" max="42" width="18.421875" style="13" customWidth="1"/>
    <col min="43" max="43" width="12.140625" style="13" customWidth="1"/>
    <col min="44" max="44" width="13.7109375" style="13" customWidth="1"/>
    <col min="45" max="45" width="14.8515625" style="13" customWidth="1"/>
    <col min="46" max="46" width="18.421875" style="13" customWidth="1"/>
    <col min="47" max="47" width="13.28125" style="13" customWidth="1"/>
    <col min="48" max="48" width="12.57421875" style="13" bestFit="1" customWidth="1"/>
    <col min="49" max="49" width="13.00390625" style="13" bestFit="1" customWidth="1"/>
    <col min="50" max="50" width="18.7109375" style="13" bestFit="1" customWidth="1"/>
    <col min="51" max="51" width="12.00390625" style="13" customWidth="1"/>
    <col min="52" max="16384" width="9.00390625" style="13" customWidth="1"/>
  </cols>
  <sheetData>
    <row r="1" spans="1:35" s="2" customFormat="1" ht="34.5">
      <c r="A1" s="600" t="s">
        <v>398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1"/>
      <c r="AC1" s="3"/>
      <c r="AI1" s="2" t="s">
        <v>0</v>
      </c>
    </row>
    <row r="2" spans="1:38" s="10" customFormat="1" ht="21" customHeight="1">
      <c r="A2" s="4"/>
      <c r="B2" s="4"/>
      <c r="C2" s="4"/>
      <c r="D2" s="5"/>
      <c r="E2" s="5"/>
      <c r="F2" s="5"/>
      <c r="G2" s="5"/>
      <c r="H2" s="6"/>
      <c r="I2" s="5"/>
      <c r="J2" s="6"/>
      <c r="K2" s="4"/>
      <c r="L2" s="7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5"/>
      <c r="Y2" s="9"/>
      <c r="AB2" s="11"/>
      <c r="AC2" s="11"/>
      <c r="AD2" s="11"/>
      <c r="AE2" s="11"/>
      <c r="AF2" s="11"/>
      <c r="AG2" s="11"/>
      <c r="AI2" s="11"/>
      <c r="AK2" s="11"/>
      <c r="AL2" s="11"/>
    </row>
    <row r="3" spans="1:26" ht="31.5" customHeight="1">
      <c r="A3" s="601" t="s">
        <v>1</v>
      </c>
      <c r="B3" s="604" t="s">
        <v>2</v>
      </c>
      <c r="C3" s="601" t="s">
        <v>3</v>
      </c>
      <c r="D3" s="607" t="s">
        <v>4</v>
      </c>
      <c r="E3" s="608"/>
      <c r="F3" s="611" t="s">
        <v>5</v>
      </c>
      <c r="G3" s="611"/>
      <c r="H3" s="612" t="s">
        <v>6</v>
      </c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12" t="s">
        <v>7</v>
      </c>
      <c r="Y3" s="613" t="s">
        <v>8</v>
      </c>
      <c r="Z3" s="616" t="s">
        <v>9</v>
      </c>
    </row>
    <row r="4" spans="1:26" ht="27" customHeight="1">
      <c r="A4" s="602"/>
      <c r="B4" s="605"/>
      <c r="C4" s="602"/>
      <c r="D4" s="609"/>
      <c r="E4" s="610"/>
      <c r="F4" s="611"/>
      <c r="G4" s="611"/>
      <c r="H4" s="593" t="s">
        <v>10</v>
      </c>
      <c r="I4" s="593"/>
      <c r="J4" s="593"/>
      <c r="K4" s="593"/>
      <c r="L4" s="593"/>
      <c r="M4" s="593"/>
      <c r="N4" s="594" t="s">
        <v>11</v>
      </c>
      <c r="O4" s="595"/>
      <c r="P4" s="595"/>
      <c r="Q4" s="595"/>
      <c r="R4" s="596"/>
      <c r="S4" s="597" t="s">
        <v>12</v>
      </c>
      <c r="T4" s="597"/>
      <c r="U4" s="597"/>
      <c r="V4" s="597"/>
      <c r="W4" s="597"/>
      <c r="X4" s="14" t="s">
        <v>13</v>
      </c>
      <c r="Y4" s="614"/>
      <c r="Z4" s="617"/>
    </row>
    <row r="5" spans="1:35" ht="54.75" customHeight="1">
      <c r="A5" s="602"/>
      <c r="B5" s="605"/>
      <c r="C5" s="602"/>
      <c r="D5" s="15" t="s">
        <v>14</v>
      </c>
      <c r="E5" s="15" t="s">
        <v>15</v>
      </c>
      <c r="F5" s="16" t="s">
        <v>14</v>
      </c>
      <c r="G5" s="16" t="s">
        <v>15</v>
      </c>
      <c r="H5" s="17" t="s">
        <v>16</v>
      </c>
      <c r="I5" s="18" t="s">
        <v>17</v>
      </c>
      <c r="J5" s="17" t="s">
        <v>18</v>
      </c>
      <c r="K5" s="19" t="s">
        <v>19</v>
      </c>
      <c r="L5" s="20" t="s">
        <v>20</v>
      </c>
      <c r="M5" s="19" t="s">
        <v>21</v>
      </c>
      <c r="N5" s="21" t="s">
        <v>22</v>
      </c>
      <c r="O5" s="21" t="s">
        <v>16</v>
      </c>
      <c r="P5" s="21" t="s">
        <v>23</v>
      </c>
      <c r="Q5" s="21" t="s">
        <v>24</v>
      </c>
      <c r="R5" s="21" t="s">
        <v>25</v>
      </c>
      <c r="S5" s="22" t="s">
        <v>22</v>
      </c>
      <c r="T5" s="22" t="s">
        <v>16</v>
      </c>
      <c r="U5" s="23" t="s">
        <v>23</v>
      </c>
      <c r="V5" s="23" t="s">
        <v>24</v>
      </c>
      <c r="W5" s="23" t="s">
        <v>25</v>
      </c>
      <c r="X5" s="14" t="s">
        <v>26</v>
      </c>
      <c r="Y5" s="614"/>
      <c r="Z5" s="617"/>
      <c r="AI5" s="11" t="s">
        <v>0</v>
      </c>
    </row>
    <row r="6" spans="1:26" ht="20.25" customHeight="1">
      <c r="A6" s="603"/>
      <c r="B6" s="606"/>
      <c r="C6" s="603"/>
      <c r="D6" s="24" t="s">
        <v>27</v>
      </c>
      <c r="E6" s="24" t="s">
        <v>27</v>
      </c>
      <c r="F6" s="25" t="s">
        <v>27</v>
      </c>
      <c r="G6" s="25" t="s">
        <v>27</v>
      </c>
      <c r="H6" s="26" t="s">
        <v>28</v>
      </c>
      <c r="I6" s="27" t="s">
        <v>29</v>
      </c>
      <c r="J6" s="26" t="s">
        <v>28</v>
      </c>
      <c r="K6" s="28" t="s">
        <v>29</v>
      </c>
      <c r="L6" s="29" t="s">
        <v>30</v>
      </c>
      <c r="M6" s="27" t="s">
        <v>31</v>
      </c>
      <c r="N6" s="30" t="s">
        <v>32</v>
      </c>
      <c r="O6" s="30" t="s">
        <v>33</v>
      </c>
      <c r="P6" s="31" t="s">
        <v>34</v>
      </c>
      <c r="Q6" s="31" t="s">
        <v>35</v>
      </c>
      <c r="R6" s="31" t="s">
        <v>36</v>
      </c>
      <c r="S6" s="32" t="s">
        <v>32</v>
      </c>
      <c r="T6" s="32" t="s">
        <v>33</v>
      </c>
      <c r="U6" s="32" t="s">
        <v>34</v>
      </c>
      <c r="V6" s="32" t="s">
        <v>35</v>
      </c>
      <c r="W6" s="32" t="s">
        <v>36</v>
      </c>
      <c r="X6" s="33" t="s">
        <v>36</v>
      </c>
      <c r="Y6" s="615"/>
      <c r="Z6" s="618"/>
    </row>
    <row r="7" spans="1:38" s="51" customFormat="1" ht="25.5" customHeight="1">
      <c r="A7" s="34" t="s">
        <v>37</v>
      </c>
      <c r="B7" s="35"/>
      <c r="C7" s="36"/>
      <c r="D7" s="37"/>
      <c r="E7" s="37"/>
      <c r="F7" s="38"/>
      <c r="G7" s="38"/>
      <c r="H7" s="39"/>
      <c r="I7" s="40"/>
      <c r="J7" s="39"/>
      <c r="K7" s="41"/>
      <c r="L7" s="42"/>
      <c r="M7" s="43">
        <f>M8+M118</f>
        <v>-0.3200923457157002</v>
      </c>
      <c r="N7" s="40"/>
      <c r="O7" s="44">
        <f>O8+O118</f>
        <v>395</v>
      </c>
      <c r="P7" s="44">
        <f>P8+P118</f>
        <v>22</v>
      </c>
      <c r="Q7" s="45"/>
      <c r="R7" s="43">
        <f>R8+R118</f>
        <v>7.516789999999999</v>
      </c>
      <c r="S7" s="40"/>
      <c r="T7" s="44">
        <f>T8+T118</f>
        <v>240</v>
      </c>
      <c r="U7" s="44">
        <f>U8+U118</f>
        <v>0</v>
      </c>
      <c r="V7" s="40"/>
      <c r="W7" s="43">
        <f>W8+W118</f>
        <v>0</v>
      </c>
      <c r="X7" s="43">
        <f>X8+X118</f>
        <v>6.477849654284299</v>
      </c>
      <c r="Y7" s="46"/>
      <c r="Z7" s="47"/>
      <c r="AA7" s="48"/>
      <c r="AB7" s="49"/>
      <c r="AC7" s="50"/>
      <c r="AD7" s="50"/>
      <c r="AE7" s="50"/>
      <c r="AF7" s="50"/>
      <c r="AG7" s="50"/>
      <c r="AI7" s="50"/>
      <c r="AK7" s="50"/>
      <c r="AL7" s="50"/>
    </row>
    <row r="8" spans="1:38" s="51" customFormat="1" ht="34.5" thickBot="1">
      <c r="A8" s="52" t="s">
        <v>38</v>
      </c>
      <c r="B8" s="53"/>
      <c r="C8" s="54"/>
      <c r="D8" s="55"/>
      <c r="E8" s="55"/>
      <c r="F8" s="56"/>
      <c r="G8" s="56"/>
      <c r="H8" s="57"/>
      <c r="I8" s="58"/>
      <c r="J8" s="57"/>
      <c r="K8" s="59"/>
      <c r="L8" s="60"/>
      <c r="M8" s="61">
        <f>+M9+M51+M62+M80</f>
        <v>-1.0389403457157003</v>
      </c>
      <c r="N8" s="58"/>
      <c r="O8" s="57">
        <f>+O9+O51+O62+O80+O97</f>
        <v>206</v>
      </c>
      <c r="P8" s="62">
        <f>+P9+P51+P62+P80</f>
        <v>22</v>
      </c>
      <c r="Q8" s="63"/>
      <c r="R8" s="61">
        <f>+R9+R51+R62+R80</f>
        <v>7.516789999999999</v>
      </c>
      <c r="S8" s="58"/>
      <c r="T8" s="57">
        <f>+T9+T51+T62+T80+T97</f>
        <v>126</v>
      </c>
      <c r="U8" s="59">
        <f>+U9+U51+U62+U80</f>
        <v>0</v>
      </c>
      <c r="V8" s="63"/>
      <c r="W8" s="61">
        <f>+W9+W51+W62+W80</f>
        <v>0</v>
      </c>
      <c r="X8" s="61">
        <f>+X9+X51+X62+X80</f>
        <v>6.477849654284299</v>
      </c>
      <c r="Y8" s="64"/>
      <c r="Z8" s="65"/>
      <c r="AA8" s="48">
        <f>+M8+R8+W8</f>
        <v>6.477849654284299</v>
      </c>
      <c r="AB8" s="66" t="s">
        <v>39</v>
      </c>
      <c r="AC8" s="3" t="s">
        <v>40</v>
      </c>
      <c r="AD8" s="50"/>
      <c r="AE8" s="50"/>
      <c r="AF8" s="50"/>
      <c r="AG8" s="50"/>
      <c r="AI8" s="50"/>
      <c r="AK8" s="50"/>
      <c r="AL8" s="50"/>
    </row>
    <row r="9" spans="1:34" ht="42.75" customHeight="1">
      <c r="A9" s="67" t="s">
        <v>41</v>
      </c>
      <c r="B9" s="68"/>
      <c r="C9" s="69"/>
      <c r="D9" s="70"/>
      <c r="E9" s="70"/>
      <c r="F9" s="71"/>
      <c r="G9" s="71"/>
      <c r="H9" s="72"/>
      <c r="I9" s="73"/>
      <c r="J9" s="72"/>
      <c r="K9" s="74"/>
      <c r="L9" s="75"/>
      <c r="M9" s="76">
        <f>SUM(M10:M50)</f>
        <v>-2.72664</v>
      </c>
      <c r="N9" s="73"/>
      <c r="O9" s="77">
        <f>O11+O12+O16+O17+O41+O42+O47+O49+O50+O33</f>
        <v>54</v>
      </c>
      <c r="P9" s="76">
        <f>SUM(P10:P50)</f>
        <v>2</v>
      </c>
      <c r="Q9" s="78"/>
      <c r="R9" s="76">
        <f>SUM(R10:R50)</f>
        <v>-0.17281</v>
      </c>
      <c r="S9" s="73"/>
      <c r="T9" s="79">
        <f>SUM(T10:T50)</f>
        <v>24</v>
      </c>
      <c r="U9" s="80">
        <f>SUM(U10:U50)</f>
        <v>0</v>
      </c>
      <c r="V9" s="78"/>
      <c r="W9" s="76">
        <f>SUM(W10:W50)</f>
        <v>0</v>
      </c>
      <c r="X9" s="76">
        <f>SUM(X10:X50)</f>
        <v>-2.89945</v>
      </c>
      <c r="Y9" s="81"/>
      <c r="Z9" s="82"/>
      <c r="AA9" s="83">
        <f>+M9+R9+W9</f>
        <v>-2.8994500000000003</v>
      </c>
      <c r="AD9" s="598" t="s">
        <v>42</v>
      </c>
      <c r="AE9" s="599"/>
      <c r="AF9" s="599"/>
      <c r="AG9" s="599"/>
      <c r="AH9" s="84"/>
    </row>
    <row r="10" spans="1:34" s="99" customFormat="1" ht="27.75" customHeight="1">
      <c r="A10" s="85" t="s">
        <v>43</v>
      </c>
      <c r="B10" s="86">
        <v>1</v>
      </c>
      <c r="C10" s="85" t="s">
        <v>44</v>
      </c>
      <c r="D10" s="87">
        <v>0.95</v>
      </c>
      <c r="E10" s="87">
        <v>0.9</v>
      </c>
      <c r="F10" s="87">
        <v>0.98</v>
      </c>
      <c r="G10" s="87">
        <v>0.6</v>
      </c>
      <c r="H10" s="88">
        <v>1</v>
      </c>
      <c r="I10" s="89"/>
      <c r="J10" s="90"/>
      <c r="K10" s="90"/>
      <c r="L10" s="90"/>
      <c r="M10" s="90"/>
      <c r="N10" s="91"/>
      <c r="O10" s="92"/>
      <c r="P10" s="90"/>
      <c r="Q10" s="93"/>
      <c r="R10" s="93"/>
      <c r="S10" s="94">
        <v>3</v>
      </c>
      <c r="T10" s="95">
        <v>4</v>
      </c>
      <c r="U10" s="93"/>
      <c r="V10" s="93"/>
      <c r="W10" s="93"/>
      <c r="X10" s="96">
        <f>M10+R10+W10</f>
        <v>0</v>
      </c>
      <c r="Y10" s="97"/>
      <c r="Z10" s="98" t="s">
        <v>45</v>
      </c>
      <c r="AD10" s="585" t="s">
        <v>46</v>
      </c>
      <c r="AE10" s="586"/>
      <c r="AF10" s="586"/>
      <c r="AG10" s="100"/>
      <c r="AH10" s="101"/>
    </row>
    <row r="11" spans="1:35" s="99" customFormat="1" ht="27.75" customHeight="1" thickBot="1">
      <c r="A11" s="85" t="s">
        <v>43</v>
      </c>
      <c r="B11" s="86">
        <v>2</v>
      </c>
      <c r="C11" s="85" t="s">
        <v>47</v>
      </c>
      <c r="D11" s="87">
        <v>0.08</v>
      </c>
      <c r="E11" s="87">
        <v>1.69</v>
      </c>
      <c r="F11" s="87">
        <v>0.18</v>
      </c>
      <c r="G11" s="87">
        <v>1.74</v>
      </c>
      <c r="H11" s="88"/>
      <c r="I11" s="89"/>
      <c r="J11" s="93"/>
      <c r="K11" s="93"/>
      <c r="L11" s="93"/>
      <c r="M11" s="93"/>
      <c r="N11" s="91">
        <v>1</v>
      </c>
      <c r="O11" s="92">
        <v>2</v>
      </c>
      <c r="P11" s="89"/>
      <c r="Q11" s="90"/>
      <c r="R11" s="90"/>
      <c r="S11" s="94"/>
      <c r="T11" s="95"/>
      <c r="U11" s="93"/>
      <c r="V11" s="93"/>
      <c r="W11" s="93"/>
      <c r="X11" s="96">
        <f>M11+R11+W11</f>
        <v>0</v>
      </c>
      <c r="Y11" s="97"/>
      <c r="Z11" s="98"/>
      <c r="AD11" s="587" t="s">
        <v>48</v>
      </c>
      <c r="AE11" s="578"/>
      <c r="AF11" s="578"/>
      <c r="AG11" s="100">
        <f>_xlfn.COUNTIFS(A120:A216,"เจ้าเจ็ดบางยี่หน",B120:B216,"&gt;0")</f>
        <v>6</v>
      </c>
      <c r="AH11" s="101" t="s">
        <v>49</v>
      </c>
      <c r="AI11" s="102"/>
    </row>
    <row r="12" spans="1:36" s="99" customFormat="1" ht="27.75" customHeight="1" thickBot="1">
      <c r="A12" s="85" t="s">
        <v>43</v>
      </c>
      <c r="B12" s="86">
        <v>3</v>
      </c>
      <c r="C12" s="85" t="s">
        <v>50</v>
      </c>
      <c r="D12" s="87">
        <v>0.08</v>
      </c>
      <c r="E12" s="87">
        <v>1.42</v>
      </c>
      <c r="F12" s="87">
        <v>0.18</v>
      </c>
      <c r="G12" s="87">
        <v>1.52</v>
      </c>
      <c r="H12" s="88"/>
      <c r="I12" s="89"/>
      <c r="J12" s="90"/>
      <c r="K12" s="90"/>
      <c r="L12" s="90"/>
      <c r="M12" s="90"/>
      <c r="N12" s="91">
        <v>1</v>
      </c>
      <c r="O12" s="92">
        <v>2</v>
      </c>
      <c r="P12" s="93"/>
      <c r="Q12" s="93"/>
      <c r="R12" s="90"/>
      <c r="S12" s="94"/>
      <c r="T12" s="95"/>
      <c r="U12" s="93"/>
      <c r="V12" s="93"/>
      <c r="W12" s="93"/>
      <c r="X12" s="96">
        <f>M12+R12+W12</f>
        <v>0</v>
      </c>
      <c r="Y12" s="97"/>
      <c r="Z12" s="98"/>
      <c r="AB12" s="103"/>
      <c r="AC12" s="103"/>
      <c r="AD12" s="104" t="s">
        <v>51</v>
      </c>
      <c r="AE12" s="105"/>
      <c r="AF12" s="105"/>
      <c r="AG12" s="106">
        <f>_xlfn.SUMIFS(O120:O216,A120:A216,"เจ้าเจ็ดบางยี่หน",O120:O216,"&gt;0")</f>
        <v>12</v>
      </c>
      <c r="AH12" s="100" t="s">
        <v>33</v>
      </c>
      <c r="AI12" s="107">
        <f>_xlfn.COUNTIFS(A111:A217,"เจ้าเจ็ดบางยี่หน",O111:O217,"&gt;0")</f>
        <v>2</v>
      </c>
      <c r="AJ12" s="108" t="s">
        <v>49</v>
      </c>
    </row>
    <row r="13" spans="1:39" s="99" customFormat="1" ht="27.75" customHeight="1">
      <c r="A13" s="85" t="s">
        <v>43</v>
      </c>
      <c r="B13" s="86">
        <v>4</v>
      </c>
      <c r="C13" s="85" t="s">
        <v>52</v>
      </c>
      <c r="D13" s="87">
        <v>1.04</v>
      </c>
      <c r="E13" s="87">
        <v>0.89</v>
      </c>
      <c r="F13" s="87">
        <v>1.07</v>
      </c>
      <c r="G13" s="87">
        <v>0.94</v>
      </c>
      <c r="H13" s="88">
        <v>1</v>
      </c>
      <c r="I13" s="89">
        <v>6</v>
      </c>
      <c r="J13" s="90"/>
      <c r="K13" s="90"/>
      <c r="L13" s="90"/>
      <c r="M13" s="90"/>
      <c r="N13" s="91"/>
      <c r="O13" s="92"/>
      <c r="P13" s="90"/>
      <c r="Q13" s="93"/>
      <c r="R13" s="90"/>
      <c r="S13" s="94"/>
      <c r="T13" s="95"/>
      <c r="U13" s="93"/>
      <c r="V13" s="93"/>
      <c r="W13" s="93"/>
      <c r="X13" s="96">
        <f>M13+R13+W13</f>
        <v>0</v>
      </c>
      <c r="Y13" s="97"/>
      <c r="Z13" s="98"/>
      <c r="AD13" s="104" t="s">
        <v>53</v>
      </c>
      <c r="AE13" s="105"/>
      <c r="AF13" s="105"/>
      <c r="AG13" s="106">
        <f>_xlfn.SUMIFS(T120:T216,A120:A216,"เจ้าเจ็ดบางยี่หน",S120:S216,"&gt;0")</f>
        <v>14</v>
      </c>
      <c r="AH13" s="101" t="s">
        <v>33</v>
      </c>
      <c r="AI13" s="109"/>
      <c r="AJ13" s="109"/>
      <c r="AK13" s="109"/>
      <c r="AL13" s="109"/>
      <c r="AM13" s="109"/>
    </row>
    <row r="14" spans="1:35" s="99" customFormat="1" ht="27.75" customHeight="1">
      <c r="A14" s="85"/>
      <c r="B14" s="86"/>
      <c r="C14" s="85"/>
      <c r="D14" s="87"/>
      <c r="E14" s="87"/>
      <c r="F14" s="87"/>
      <c r="G14" s="87"/>
      <c r="H14" s="88"/>
      <c r="I14" s="89"/>
      <c r="J14" s="90"/>
      <c r="K14" s="90"/>
      <c r="L14" s="90"/>
      <c r="M14" s="90"/>
      <c r="N14" s="91"/>
      <c r="O14" s="92"/>
      <c r="P14" s="90"/>
      <c r="Q14" s="93"/>
      <c r="R14" s="90"/>
      <c r="S14" s="94"/>
      <c r="T14" s="95"/>
      <c r="U14" s="93"/>
      <c r="V14" s="93"/>
      <c r="W14" s="93"/>
      <c r="X14" s="96"/>
      <c r="Y14" s="97"/>
      <c r="Z14" s="98"/>
      <c r="AD14" s="110" t="s">
        <v>54</v>
      </c>
      <c r="AE14" s="111"/>
      <c r="AF14" s="111"/>
      <c r="AG14" s="112">
        <f>SUMIF(A120:A216,"เจ้าเจ็ดบางยี่หน",X120:X216)</f>
        <v>0</v>
      </c>
      <c r="AH14" s="113" t="s">
        <v>55</v>
      </c>
      <c r="AI14" s="103"/>
    </row>
    <row r="15" spans="1:34" s="126" customFormat="1" ht="27.75" customHeight="1">
      <c r="A15" s="114" t="s">
        <v>56</v>
      </c>
      <c r="B15" s="115">
        <v>1</v>
      </c>
      <c r="C15" s="114" t="s">
        <v>57</v>
      </c>
      <c r="D15" s="530">
        <v>0.93</v>
      </c>
      <c r="E15" s="530">
        <v>0.86</v>
      </c>
      <c r="F15" s="530">
        <v>0.55</v>
      </c>
      <c r="G15" s="530">
        <v>0.5</v>
      </c>
      <c r="H15" s="88"/>
      <c r="I15" s="89">
        <v>4</v>
      </c>
      <c r="J15" s="117">
        <v>2</v>
      </c>
      <c r="K15" s="89" t="s">
        <v>58</v>
      </c>
      <c r="L15" s="89">
        <v>13</v>
      </c>
      <c r="M15" s="117">
        <f>-986544/1000000</f>
        <v>-0.986544</v>
      </c>
      <c r="N15" s="118"/>
      <c r="O15" s="119"/>
      <c r="P15" s="89">
        <v>2</v>
      </c>
      <c r="Q15" s="117">
        <v>4</v>
      </c>
      <c r="R15" s="89">
        <f>-172810/1000000</f>
        <v>-0.17281</v>
      </c>
      <c r="S15" s="90"/>
      <c r="T15" s="120"/>
      <c r="U15" s="121"/>
      <c r="V15" s="117"/>
      <c r="W15" s="122"/>
      <c r="X15" s="123">
        <f>M15+R15+W15</f>
        <v>-1.159354</v>
      </c>
      <c r="Y15" s="124"/>
      <c r="Z15" s="125"/>
      <c r="AD15" s="127"/>
      <c r="AE15" s="128"/>
      <c r="AF15" s="128"/>
      <c r="AG15" s="128"/>
      <c r="AH15" s="129"/>
    </row>
    <row r="16" spans="1:34" s="99" customFormat="1" ht="27.75" customHeight="1">
      <c r="A16" s="85" t="s">
        <v>56</v>
      </c>
      <c r="B16" s="86">
        <v>2</v>
      </c>
      <c r="C16" s="114" t="s">
        <v>59</v>
      </c>
      <c r="D16" s="530">
        <v>1</v>
      </c>
      <c r="E16" s="530">
        <v>0.95</v>
      </c>
      <c r="F16" s="530">
        <v>0.74</v>
      </c>
      <c r="G16" s="530">
        <v>0.68</v>
      </c>
      <c r="H16" s="88">
        <v>0.87</v>
      </c>
      <c r="I16" s="89">
        <v>4</v>
      </c>
      <c r="J16" s="117">
        <v>4</v>
      </c>
      <c r="K16" s="89" t="s">
        <v>58</v>
      </c>
      <c r="L16" s="89">
        <v>24</v>
      </c>
      <c r="M16" s="90">
        <f>-1740096/1000000</f>
        <v>-1.740096</v>
      </c>
      <c r="N16" s="91">
        <v>6</v>
      </c>
      <c r="O16" s="92">
        <v>12</v>
      </c>
      <c r="P16" s="93"/>
      <c r="Q16" s="93"/>
      <c r="R16" s="130"/>
      <c r="S16" s="94"/>
      <c r="T16" s="95"/>
      <c r="U16" s="93"/>
      <c r="V16" s="93"/>
      <c r="W16" s="93"/>
      <c r="X16" s="96">
        <f>M16+R16+W16</f>
        <v>-1.740096</v>
      </c>
      <c r="Y16" s="124"/>
      <c r="Z16" s="98" t="s">
        <v>45</v>
      </c>
      <c r="AB16" s="131">
        <f>G16-F16</f>
        <v>-0.05999999999999994</v>
      </c>
      <c r="AC16" s="131">
        <f>G16</f>
        <v>0.68</v>
      </c>
      <c r="AD16" s="585" t="s">
        <v>60</v>
      </c>
      <c r="AE16" s="586"/>
      <c r="AF16" s="586"/>
      <c r="AG16" s="100"/>
      <c r="AH16" s="101"/>
    </row>
    <row r="17" spans="1:35" s="99" customFormat="1" ht="27.75" customHeight="1" thickBot="1">
      <c r="A17" s="85" t="s">
        <v>56</v>
      </c>
      <c r="B17" s="86">
        <v>3</v>
      </c>
      <c r="C17" s="114" t="s">
        <v>61</v>
      </c>
      <c r="D17" s="87"/>
      <c r="E17" s="87"/>
      <c r="F17" s="87"/>
      <c r="G17" s="87"/>
      <c r="H17" s="88"/>
      <c r="I17" s="89"/>
      <c r="J17" s="90"/>
      <c r="K17" s="90"/>
      <c r="L17" s="93"/>
      <c r="M17" s="132"/>
      <c r="N17" s="91">
        <v>3</v>
      </c>
      <c r="O17" s="92">
        <v>12</v>
      </c>
      <c r="P17" s="93"/>
      <c r="Q17" s="93"/>
      <c r="R17" s="133"/>
      <c r="S17" s="94">
        <v>3</v>
      </c>
      <c r="T17" s="95">
        <v>4</v>
      </c>
      <c r="U17" s="90"/>
      <c r="V17" s="93"/>
      <c r="W17" s="93"/>
      <c r="X17" s="96">
        <f>M17+R17+W17</f>
        <v>0</v>
      </c>
      <c r="Y17" s="97"/>
      <c r="Z17" s="98"/>
      <c r="AB17" s="103"/>
      <c r="AC17" s="103"/>
      <c r="AD17" s="587" t="s">
        <v>48</v>
      </c>
      <c r="AE17" s="578"/>
      <c r="AF17" s="578"/>
      <c r="AG17" s="100">
        <f>_xlfn.COUNTIFS(A218:A303,"เจ้าเจ็ดบางยี่หน",B218:B303,"&gt;0")</f>
        <v>10</v>
      </c>
      <c r="AH17" s="101" t="s">
        <v>49</v>
      </c>
      <c r="AI17" s="102"/>
    </row>
    <row r="18" spans="1:36" s="99" customFormat="1" ht="27.75" customHeight="1" thickBot="1">
      <c r="A18" s="85" t="s">
        <v>56</v>
      </c>
      <c r="B18" s="86">
        <v>4</v>
      </c>
      <c r="C18" s="114" t="s">
        <v>62</v>
      </c>
      <c r="D18" s="116">
        <v>0.93</v>
      </c>
      <c r="E18" s="116">
        <v>0.76</v>
      </c>
      <c r="F18" s="116">
        <v>0.6</v>
      </c>
      <c r="G18" s="116">
        <v>0.6</v>
      </c>
      <c r="H18" s="88">
        <v>0.87</v>
      </c>
      <c r="I18" s="89">
        <v>4</v>
      </c>
      <c r="J18" s="93"/>
      <c r="K18" s="89"/>
      <c r="L18" s="93"/>
      <c r="M18" s="93"/>
      <c r="N18" s="135"/>
      <c r="O18" s="92"/>
      <c r="P18" s="90"/>
      <c r="Q18" s="93"/>
      <c r="R18" s="93"/>
      <c r="S18" s="94">
        <v>3</v>
      </c>
      <c r="T18" s="95">
        <v>2</v>
      </c>
      <c r="U18" s="93"/>
      <c r="V18" s="93"/>
      <c r="W18" s="93"/>
      <c r="X18" s="96">
        <f aca="true" t="shared" si="0" ref="X18:X50">M18+R18+W18</f>
        <v>0</v>
      </c>
      <c r="Y18" s="97"/>
      <c r="Z18" s="98"/>
      <c r="AB18" s="136"/>
      <c r="AD18" s="104" t="s">
        <v>51</v>
      </c>
      <c r="AE18" s="105"/>
      <c r="AF18" s="105"/>
      <c r="AG18" s="137">
        <f>_xlfn.SUMIFS(O218:O303,A218:A303,"เจ้าเจ็ดบางยี่หน",O218:O303,"&gt;0")</f>
        <v>0</v>
      </c>
      <c r="AH18" s="100" t="s">
        <v>33</v>
      </c>
      <c r="AI18" s="138">
        <f>_xlfn.COUNTIFS(A220:A309,"เจ้าเจ็ดบางยี่หน",O220:O309,"&gt;0")</f>
        <v>0</v>
      </c>
      <c r="AJ18" s="139" t="s">
        <v>49</v>
      </c>
    </row>
    <row r="19" spans="1:34" s="99" customFormat="1" ht="27.75" customHeight="1" hidden="1">
      <c r="A19" s="85" t="s">
        <v>63</v>
      </c>
      <c r="B19" s="140">
        <v>1</v>
      </c>
      <c r="C19" s="85" t="s">
        <v>64</v>
      </c>
      <c r="D19" s="87"/>
      <c r="E19" s="87"/>
      <c r="F19" s="87"/>
      <c r="G19" s="87"/>
      <c r="H19" s="88">
        <v>1</v>
      </c>
      <c r="I19" s="89">
        <v>4</v>
      </c>
      <c r="J19" s="141"/>
      <c r="K19" s="141"/>
      <c r="L19" s="141"/>
      <c r="M19" s="141"/>
      <c r="N19" s="135">
        <v>0.5</v>
      </c>
      <c r="O19" s="92">
        <v>2</v>
      </c>
      <c r="P19" s="90"/>
      <c r="Q19" s="93"/>
      <c r="R19" s="93"/>
      <c r="S19" s="142"/>
      <c r="T19" s="95"/>
      <c r="U19" s="90"/>
      <c r="V19" s="141"/>
      <c r="W19" s="143"/>
      <c r="X19" s="96">
        <f t="shared" si="0"/>
        <v>0</v>
      </c>
      <c r="Y19" s="144"/>
      <c r="Z19" s="98" t="s">
        <v>45</v>
      </c>
      <c r="AD19" s="104" t="s">
        <v>53</v>
      </c>
      <c r="AE19" s="105"/>
      <c r="AF19" s="105"/>
      <c r="AG19" s="106">
        <f>_xlfn.SUMIFS(T218:T303,A218:A303,"เจ้าเจ็ดบางยี่หน",S218:S303,"&gt;0")</f>
        <v>14</v>
      </c>
      <c r="AH19" s="101" t="s">
        <v>33</v>
      </c>
    </row>
    <row r="20" spans="1:34" s="99" customFormat="1" ht="27.75" customHeight="1" hidden="1">
      <c r="A20" s="85" t="s">
        <v>63</v>
      </c>
      <c r="B20" s="140">
        <v>2</v>
      </c>
      <c r="C20" s="85" t="s">
        <v>65</v>
      </c>
      <c r="D20" s="87"/>
      <c r="E20" s="87"/>
      <c r="F20" s="87"/>
      <c r="G20" s="87"/>
      <c r="H20" s="88">
        <v>1</v>
      </c>
      <c r="I20" s="89">
        <v>4</v>
      </c>
      <c r="J20" s="141"/>
      <c r="K20" s="141"/>
      <c r="L20" s="141"/>
      <c r="M20" s="141"/>
      <c r="N20" s="135">
        <v>0.5</v>
      </c>
      <c r="O20" s="92">
        <v>2</v>
      </c>
      <c r="P20" s="90"/>
      <c r="Q20" s="93"/>
      <c r="R20" s="93"/>
      <c r="S20" s="142"/>
      <c r="T20" s="95"/>
      <c r="U20" s="90"/>
      <c r="V20" s="141"/>
      <c r="W20" s="143"/>
      <c r="X20" s="96">
        <f t="shared" si="0"/>
        <v>0</v>
      </c>
      <c r="Y20" s="144"/>
      <c r="Z20" s="98" t="s">
        <v>45</v>
      </c>
      <c r="AD20" s="145" t="s">
        <v>54</v>
      </c>
      <c r="AE20" s="146"/>
      <c r="AF20" s="146"/>
      <c r="AG20" s="147">
        <f>SUMIF(A218:A303,"เจ้าเจ็ดบางยี่หน",X218:X303)</f>
        <v>0.718848</v>
      </c>
      <c r="AH20" s="148" t="s">
        <v>55</v>
      </c>
    </row>
    <row r="21" spans="1:26" s="99" customFormat="1" ht="27.75" customHeight="1" hidden="1">
      <c r="A21" s="85" t="s">
        <v>63</v>
      </c>
      <c r="B21" s="140">
        <v>3</v>
      </c>
      <c r="C21" s="85" t="s">
        <v>66</v>
      </c>
      <c r="D21" s="87"/>
      <c r="E21" s="87"/>
      <c r="F21" s="87"/>
      <c r="G21" s="87"/>
      <c r="H21" s="88">
        <v>1</v>
      </c>
      <c r="I21" s="89">
        <v>4</v>
      </c>
      <c r="J21" s="141"/>
      <c r="K21" s="141"/>
      <c r="L21" s="141"/>
      <c r="M21" s="141"/>
      <c r="N21" s="135">
        <v>3</v>
      </c>
      <c r="O21" s="92">
        <v>2</v>
      </c>
      <c r="P21" s="90"/>
      <c r="Q21" s="93"/>
      <c r="R21" s="93"/>
      <c r="S21" s="142"/>
      <c r="T21" s="95"/>
      <c r="U21" s="90"/>
      <c r="V21" s="141"/>
      <c r="W21" s="143"/>
      <c r="X21" s="96">
        <f t="shared" si="0"/>
        <v>0</v>
      </c>
      <c r="Y21" s="144"/>
      <c r="Z21" s="98" t="s">
        <v>45</v>
      </c>
    </row>
    <row r="22" spans="1:34" s="99" customFormat="1" ht="27.75" customHeight="1" hidden="1">
      <c r="A22" s="85" t="s">
        <v>63</v>
      </c>
      <c r="B22" s="140">
        <v>4</v>
      </c>
      <c r="C22" s="85" t="s">
        <v>67</v>
      </c>
      <c r="D22" s="87"/>
      <c r="E22" s="87"/>
      <c r="F22" s="87"/>
      <c r="G22" s="87"/>
      <c r="H22" s="88">
        <v>1</v>
      </c>
      <c r="I22" s="89">
        <v>2.4</v>
      </c>
      <c r="J22" s="141"/>
      <c r="K22" s="141"/>
      <c r="L22" s="141"/>
      <c r="M22" s="141"/>
      <c r="N22" s="91"/>
      <c r="O22" s="149"/>
      <c r="P22" s="90"/>
      <c r="Q22" s="93"/>
      <c r="R22" s="93"/>
      <c r="S22" s="142"/>
      <c r="T22" s="95"/>
      <c r="U22" s="90"/>
      <c r="V22" s="141"/>
      <c r="W22" s="143"/>
      <c r="X22" s="96">
        <f t="shared" si="0"/>
        <v>0</v>
      </c>
      <c r="Y22" s="144"/>
      <c r="Z22" s="98" t="s">
        <v>45</v>
      </c>
      <c r="AD22" s="583" t="s">
        <v>68</v>
      </c>
      <c r="AE22" s="584"/>
      <c r="AF22" s="584"/>
      <c r="AG22" s="584"/>
      <c r="AH22" s="150"/>
    </row>
    <row r="23" spans="1:34" s="99" customFormat="1" ht="27.75" customHeight="1" hidden="1">
      <c r="A23" s="85" t="s">
        <v>63</v>
      </c>
      <c r="B23" s="140">
        <v>5</v>
      </c>
      <c r="C23" s="85" t="s">
        <v>69</v>
      </c>
      <c r="D23" s="87"/>
      <c r="E23" s="87"/>
      <c r="F23" s="87"/>
      <c r="G23" s="87"/>
      <c r="H23" s="88">
        <v>1</v>
      </c>
      <c r="I23" s="89">
        <v>6</v>
      </c>
      <c r="J23" s="141"/>
      <c r="K23" s="141"/>
      <c r="L23" s="141"/>
      <c r="M23" s="141"/>
      <c r="N23" s="135">
        <v>3</v>
      </c>
      <c r="O23" s="92">
        <v>2</v>
      </c>
      <c r="P23" s="90"/>
      <c r="Q23" s="93"/>
      <c r="R23" s="93"/>
      <c r="S23" s="142"/>
      <c r="T23" s="95"/>
      <c r="U23" s="90"/>
      <c r="V23" s="141"/>
      <c r="W23" s="143"/>
      <c r="X23" s="96">
        <f t="shared" si="0"/>
        <v>0</v>
      </c>
      <c r="Y23" s="144"/>
      <c r="Z23" s="98" t="s">
        <v>45</v>
      </c>
      <c r="AD23" s="585" t="s">
        <v>46</v>
      </c>
      <c r="AE23" s="586"/>
      <c r="AF23" s="586"/>
      <c r="AG23" s="100"/>
      <c r="AH23" s="101"/>
    </row>
    <row r="24" spans="1:36" s="99" customFormat="1" ht="27.75" customHeight="1" hidden="1">
      <c r="A24" s="85" t="s">
        <v>63</v>
      </c>
      <c r="B24" s="140">
        <v>6</v>
      </c>
      <c r="C24" s="85" t="s">
        <v>70</v>
      </c>
      <c r="D24" s="87"/>
      <c r="E24" s="87"/>
      <c r="F24" s="87"/>
      <c r="G24" s="87"/>
      <c r="H24" s="88">
        <v>1</v>
      </c>
      <c r="I24" s="89">
        <v>3</v>
      </c>
      <c r="J24" s="141"/>
      <c r="K24" s="141"/>
      <c r="L24" s="141"/>
      <c r="M24" s="141"/>
      <c r="N24" s="135">
        <v>0.5</v>
      </c>
      <c r="O24" s="92">
        <v>1</v>
      </c>
      <c r="P24" s="90"/>
      <c r="Q24" s="93"/>
      <c r="R24" s="93"/>
      <c r="S24" s="142"/>
      <c r="T24" s="95"/>
      <c r="U24" s="90"/>
      <c r="V24" s="141"/>
      <c r="W24" s="143"/>
      <c r="X24" s="96">
        <f t="shared" si="0"/>
        <v>0</v>
      </c>
      <c r="Y24" s="144"/>
      <c r="Z24" s="98" t="s">
        <v>45</v>
      </c>
      <c r="AD24" s="587" t="s">
        <v>48</v>
      </c>
      <c r="AE24" s="578"/>
      <c r="AF24" s="578"/>
      <c r="AG24" s="100">
        <f>_xlfn.COUNTIFS(A120:A216,"พระยาบรรลือ",B120:B216,"&gt;0")</f>
        <v>5</v>
      </c>
      <c r="AH24" s="101" t="s">
        <v>49</v>
      </c>
      <c r="AI24" s="102"/>
      <c r="AJ24" s="138"/>
    </row>
    <row r="25" spans="1:36" s="99" customFormat="1" ht="27.75" customHeight="1" hidden="1">
      <c r="A25" s="85" t="s">
        <v>63</v>
      </c>
      <c r="B25" s="140">
        <v>7</v>
      </c>
      <c r="C25" s="85" t="s">
        <v>71</v>
      </c>
      <c r="D25" s="87"/>
      <c r="E25" s="87"/>
      <c r="F25" s="87"/>
      <c r="G25" s="87"/>
      <c r="H25" s="88">
        <v>1</v>
      </c>
      <c r="I25" s="89">
        <v>3</v>
      </c>
      <c r="J25" s="141"/>
      <c r="K25" s="141"/>
      <c r="L25" s="141"/>
      <c r="M25" s="141"/>
      <c r="N25" s="135">
        <v>0.5</v>
      </c>
      <c r="O25" s="92">
        <v>1</v>
      </c>
      <c r="P25" s="90"/>
      <c r="Q25" s="93"/>
      <c r="R25" s="93"/>
      <c r="S25" s="142"/>
      <c r="T25" s="95"/>
      <c r="U25" s="90"/>
      <c r="V25" s="141"/>
      <c r="W25" s="143"/>
      <c r="X25" s="96">
        <f t="shared" si="0"/>
        <v>0</v>
      </c>
      <c r="Y25" s="144"/>
      <c r="Z25" s="98" t="s">
        <v>45</v>
      </c>
      <c r="AD25" s="104" t="s">
        <v>51</v>
      </c>
      <c r="AE25" s="105"/>
      <c r="AF25" s="105"/>
      <c r="AG25" s="106">
        <f>_xlfn.SUMIFS(O120:O216,A120:A216,"พระยาบรรลือ",O120:O216,"&gt;0")</f>
        <v>17</v>
      </c>
      <c r="AH25" s="100" t="s">
        <v>33</v>
      </c>
      <c r="AI25" s="138">
        <f>_xlfn.COUNTIFS(A111:A217,"พระยาบรรลือ",O111:O217,"&gt;0")</f>
        <v>4</v>
      </c>
      <c r="AJ25" s="152" t="s">
        <v>49</v>
      </c>
    </row>
    <row r="26" spans="1:34" s="99" customFormat="1" ht="27.75" customHeight="1" hidden="1">
      <c r="A26" s="85" t="s">
        <v>63</v>
      </c>
      <c r="B26" s="140">
        <v>8</v>
      </c>
      <c r="C26" s="85" t="s">
        <v>72</v>
      </c>
      <c r="D26" s="87"/>
      <c r="E26" s="87"/>
      <c r="F26" s="87"/>
      <c r="G26" s="87"/>
      <c r="H26" s="88">
        <v>1</v>
      </c>
      <c r="I26" s="89">
        <v>6</v>
      </c>
      <c r="J26" s="141"/>
      <c r="K26" s="141"/>
      <c r="L26" s="141"/>
      <c r="M26" s="141"/>
      <c r="N26" s="135">
        <v>3</v>
      </c>
      <c r="O26" s="92">
        <v>2</v>
      </c>
      <c r="P26" s="90"/>
      <c r="Q26" s="93"/>
      <c r="R26" s="93"/>
      <c r="S26" s="142"/>
      <c r="T26" s="95"/>
      <c r="U26" s="90"/>
      <c r="V26" s="141"/>
      <c r="W26" s="143"/>
      <c r="X26" s="96">
        <f t="shared" si="0"/>
        <v>0</v>
      </c>
      <c r="Y26" s="144"/>
      <c r="Z26" s="98" t="s">
        <v>45</v>
      </c>
      <c r="AD26" s="104" t="s">
        <v>53</v>
      </c>
      <c r="AE26" s="105"/>
      <c r="AF26" s="105"/>
      <c r="AG26" s="106">
        <f>_xlfn.SUMIFS(T120:T216,A120:A216,"พระยาบรรลือ",S120:S216,"&gt;0")</f>
        <v>8</v>
      </c>
      <c r="AH26" s="101" t="s">
        <v>33</v>
      </c>
    </row>
    <row r="27" spans="1:34" s="99" customFormat="1" ht="27.75" customHeight="1" hidden="1">
      <c r="A27" s="85" t="s">
        <v>63</v>
      </c>
      <c r="B27" s="140">
        <v>9</v>
      </c>
      <c r="C27" s="85" t="s">
        <v>73</v>
      </c>
      <c r="D27" s="87"/>
      <c r="E27" s="87"/>
      <c r="F27" s="87"/>
      <c r="G27" s="87"/>
      <c r="H27" s="88">
        <v>1</v>
      </c>
      <c r="I27" s="89">
        <v>4</v>
      </c>
      <c r="J27" s="141"/>
      <c r="K27" s="141"/>
      <c r="L27" s="141"/>
      <c r="M27" s="141"/>
      <c r="N27" s="135">
        <v>0.5</v>
      </c>
      <c r="O27" s="92">
        <v>3</v>
      </c>
      <c r="P27" s="90"/>
      <c r="Q27" s="93"/>
      <c r="R27" s="93"/>
      <c r="S27" s="142"/>
      <c r="T27" s="95"/>
      <c r="U27" s="90"/>
      <c r="V27" s="141"/>
      <c r="W27" s="143"/>
      <c r="X27" s="96">
        <f t="shared" si="0"/>
        <v>0</v>
      </c>
      <c r="Y27" s="144"/>
      <c r="Z27" s="98" t="s">
        <v>45</v>
      </c>
      <c r="AD27" s="110" t="s">
        <v>54</v>
      </c>
      <c r="AE27" s="111"/>
      <c r="AF27" s="111"/>
      <c r="AG27" s="112">
        <f>SUMIF(A120:A216,"พระยาบรรลือ",X120:X216)</f>
        <v>0</v>
      </c>
      <c r="AH27" s="113" t="s">
        <v>55</v>
      </c>
    </row>
    <row r="28" spans="1:34" s="99" customFormat="1" ht="27.75" customHeight="1" hidden="1">
      <c r="A28" s="85" t="s">
        <v>63</v>
      </c>
      <c r="B28" s="140">
        <v>10</v>
      </c>
      <c r="C28" s="85" t="s">
        <v>74</v>
      </c>
      <c r="D28" s="87"/>
      <c r="E28" s="87"/>
      <c r="F28" s="87"/>
      <c r="G28" s="87"/>
      <c r="H28" s="88">
        <v>1</v>
      </c>
      <c r="I28" s="89">
        <v>4</v>
      </c>
      <c r="J28" s="141"/>
      <c r="K28" s="141"/>
      <c r="L28" s="141"/>
      <c r="M28" s="141"/>
      <c r="N28" s="135">
        <v>0.5</v>
      </c>
      <c r="O28" s="92">
        <v>2</v>
      </c>
      <c r="P28" s="90"/>
      <c r="Q28" s="93"/>
      <c r="R28" s="93"/>
      <c r="S28" s="142"/>
      <c r="T28" s="95"/>
      <c r="U28" s="90"/>
      <c r="V28" s="141"/>
      <c r="W28" s="143"/>
      <c r="X28" s="96">
        <f t="shared" si="0"/>
        <v>0</v>
      </c>
      <c r="Y28" s="144"/>
      <c r="Z28" s="98" t="s">
        <v>45</v>
      </c>
      <c r="AD28" s="153"/>
      <c r="AE28" s="100"/>
      <c r="AF28" s="100"/>
      <c r="AG28" s="100"/>
      <c r="AH28" s="101"/>
    </row>
    <row r="29" spans="1:34" s="99" customFormat="1" ht="27.75" customHeight="1" hidden="1">
      <c r="A29" s="85" t="s">
        <v>63</v>
      </c>
      <c r="B29" s="140">
        <v>11</v>
      </c>
      <c r="C29" s="85" t="s">
        <v>75</v>
      </c>
      <c r="D29" s="87"/>
      <c r="E29" s="87"/>
      <c r="F29" s="87"/>
      <c r="G29" s="87"/>
      <c r="H29" s="88">
        <v>1</v>
      </c>
      <c r="I29" s="89">
        <v>4</v>
      </c>
      <c r="J29" s="141"/>
      <c r="K29" s="141"/>
      <c r="L29" s="141"/>
      <c r="M29" s="141"/>
      <c r="N29" s="135">
        <v>3</v>
      </c>
      <c r="O29" s="92">
        <v>2</v>
      </c>
      <c r="P29" s="90"/>
      <c r="Q29" s="93"/>
      <c r="R29" s="93"/>
      <c r="S29" s="142"/>
      <c r="T29" s="95"/>
      <c r="U29" s="90"/>
      <c r="V29" s="141"/>
      <c r="W29" s="143"/>
      <c r="X29" s="96">
        <f t="shared" si="0"/>
        <v>0</v>
      </c>
      <c r="Y29" s="144"/>
      <c r="Z29" s="98" t="s">
        <v>45</v>
      </c>
      <c r="AD29" s="585" t="s">
        <v>60</v>
      </c>
      <c r="AE29" s="586"/>
      <c r="AF29" s="586"/>
      <c r="AG29" s="100"/>
      <c r="AH29" s="101"/>
    </row>
    <row r="30" spans="1:36" s="99" customFormat="1" ht="27.75" customHeight="1" hidden="1">
      <c r="A30" s="85" t="s">
        <v>63</v>
      </c>
      <c r="B30" s="140">
        <v>12</v>
      </c>
      <c r="C30" s="85" t="s">
        <v>76</v>
      </c>
      <c r="D30" s="87"/>
      <c r="E30" s="87"/>
      <c r="F30" s="87"/>
      <c r="G30" s="87"/>
      <c r="H30" s="88">
        <v>1</v>
      </c>
      <c r="I30" s="89">
        <v>2.4</v>
      </c>
      <c r="J30" s="141"/>
      <c r="K30" s="141"/>
      <c r="L30" s="141"/>
      <c r="M30" s="141"/>
      <c r="N30" s="135">
        <v>0.5</v>
      </c>
      <c r="O30" s="92">
        <v>1</v>
      </c>
      <c r="P30" s="90"/>
      <c r="Q30" s="93"/>
      <c r="R30" s="93"/>
      <c r="S30" s="142"/>
      <c r="T30" s="95"/>
      <c r="U30" s="90"/>
      <c r="V30" s="141"/>
      <c r="W30" s="143"/>
      <c r="X30" s="96">
        <f t="shared" si="0"/>
        <v>0</v>
      </c>
      <c r="Y30" s="144"/>
      <c r="Z30" s="98" t="s">
        <v>45</v>
      </c>
      <c r="AD30" s="587" t="s">
        <v>48</v>
      </c>
      <c r="AE30" s="578"/>
      <c r="AF30" s="578"/>
      <c r="AG30" s="100">
        <f>_xlfn.COUNTIFS(A218:A295,"พระยาบรรลือ",B218:B295,"&gt;0")</f>
        <v>4</v>
      </c>
      <c r="AH30" s="101" t="s">
        <v>49</v>
      </c>
      <c r="AI30" s="102"/>
      <c r="AJ30" s="138"/>
    </row>
    <row r="31" spans="1:36" s="99" customFormat="1" ht="27.75" customHeight="1" hidden="1">
      <c r="A31" s="85" t="s">
        <v>63</v>
      </c>
      <c r="B31" s="140">
        <v>13</v>
      </c>
      <c r="C31" s="85" t="s">
        <v>77</v>
      </c>
      <c r="D31" s="87"/>
      <c r="E31" s="87"/>
      <c r="F31" s="87"/>
      <c r="G31" s="87"/>
      <c r="H31" s="88">
        <v>1</v>
      </c>
      <c r="I31" s="89">
        <v>4</v>
      </c>
      <c r="J31" s="141"/>
      <c r="K31" s="141"/>
      <c r="L31" s="141"/>
      <c r="M31" s="141"/>
      <c r="N31" s="135">
        <v>1</v>
      </c>
      <c r="O31" s="92">
        <v>2</v>
      </c>
      <c r="P31" s="90"/>
      <c r="Q31" s="93"/>
      <c r="R31" s="93"/>
      <c r="S31" s="142"/>
      <c r="T31" s="95"/>
      <c r="U31" s="90"/>
      <c r="V31" s="141"/>
      <c r="W31" s="143"/>
      <c r="X31" s="96">
        <f t="shared" si="0"/>
        <v>0</v>
      </c>
      <c r="Y31" s="144"/>
      <c r="Z31" s="98" t="s">
        <v>45</v>
      </c>
      <c r="AD31" s="104" t="s">
        <v>51</v>
      </c>
      <c r="AE31" s="105"/>
      <c r="AF31" s="105"/>
      <c r="AG31" s="154">
        <f>_xlfn.SUMIFS(O218:O295,A218:A295,"พระยาบรรลือ",O218:O295,"&gt;0")+_xlfn.SUMIFS(O218:O295,A218:A295,"ปทุมธานี",AA219:AA296,"block 2-2")+_xlfn.SUMIFS(O218:O295,A218:A295,"นนทบุรี",AA219:AA296,"block 2-2")</f>
        <v>37</v>
      </c>
      <c r="AH31" s="100" t="s">
        <v>33</v>
      </c>
      <c r="AI31" s="155">
        <f>_xlfn.COUNTIFS(A220:A309,"พระยาบรรลือ",O220:O309,"&gt;0")+_xlfn.COUNTIFS(A220:A309,"ปทุมธานี",AA221:AA310,"block 2-2")+_xlfn.COUNTIFS(A220:A309,"นนทบุรี",AA221:AA310,"block 2-2")</f>
        <v>37</v>
      </c>
      <c r="AJ31" s="152" t="s">
        <v>49</v>
      </c>
    </row>
    <row r="32" spans="1:34" s="99" customFormat="1" ht="27.75" customHeight="1" hidden="1">
      <c r="A32" s="85" t="s">
        <v>63</v>
      </c>
      <c r="B32" s="140">
        <v>14</v>
      </c>
      <c r="C32" s="85" t="s">
        <v>78</v>
      </c>
      <c r="D32" s="87"/>
      <c r="E32" s="87"/>
      <c r="F32" s="87"/>
      <c r="G32" s="87"/>
      <c r="H32" s="88">
        <v>1</v>
      </c>
      <c r="I32" s="89">
        <v>2.7</v>
      </c>
      <c r="J32" s="141"/>
      <c r="K32" s="141"/>
      <c r="L32" s="141"/>
      <c r="M32" s="141"/>
      <c r="N32" s="135">
        <v>0.5</v>
      </c>
      <c r="O32" s="92">
        <v>2</v>
      </c>
      <c r="P32" s="90"/>
      <c r="Q32" s="93"/>
      <c r="R32" s="93"/>
      <c r="S32" s="142"/>
      <c r="T32" s="95"/>
      <c r="U32" s="90"/>
      <c r="V32" s="141"/>
      <c r="W32" s="143"/>
      <c r="X32" s="96">
        <f t="shared" si="0"/>
        <v>0</v>
      </c>
      <c r="Y32" s="144"/>
      <c r="Z32" s="98" t="s">
        <v>45</v>
      </c>
      <c r="AD32" s="104" t="s">
        <v>53</v>
      </c>
      <c r="AE32" s="105"/>
      <c r="AF32" s="105"/>
      <c r="AG32" s="154">
        <f>_xlfn.SUMIFS(T218:T295,A218:A295,"พระยาบรรลือ",S218:S295,"&gt;0")+_xlfn.SUMIFS(T218:T295,A218:A295,"ปทุมธานี",AA219:AA296,"block 2-2")+_xlfn.SUMIFS(T218:T295,A218:A295,"นนทบุรี",AA219:AA296,"block 2-2")</f>
        <v>10</v>
      </c>
      <c r="AH32" s="101" t="s">
        <v>33</v>
      </c>
    </row>
    <row r="33" spans="1:34" s="99" customFormat="1" ht="27.75" customHeight="1" thickBot="1">
      <c r="A33" s="85" t="s">
        <v>63</v>
      </c>
      <c r="B33" s="86">
        <v>15</v>
      </c>
      <c r="C33" s="85" t="s">
        <v>79</v>
      </c>
      <c r="D33" s="156"/>
      <c r="E33" s="156"/>
      <c r="F33" s="156"/>
      <c r="G33" s="156"/>
      <c r="H33" s="88">
        <v>1</v>
      </c>
      <c r="I33" s="89">
        <v>6</v>
      </c>
      <c r="J33" s="90"/>
      <c r="K33" s="90"/>
      <c r="L33" s="90"/>
      <c r="M33" s="90"/>
      <c r="N33" s="135">
        <v>3</v>
      </c>
      <c r="O33" s="92">
        <v>4</v>
      </c>
      <c r="P33" s="90"/>
      <c r="Q33" s="90"/>
      <c r="R33" s="90"/>
      <c r="S33" s="94">
        <v>3</v>
      </c>
      <c r="T33" s="95">
        <v>2</v>
      </c>
      <c r="U33" s="93"/>
      <c r="V33" s="93"/>
      <c r="W33" s="93"/>
      <c r="X33" s="96">
        <f t="shared" si="0"/>
        <v>0</v>
      </c>
      <c r="Y33" s="97"/>
      <c r="Z33" s="98" t="s">
        <v>45</v>
      </c>
      <c r="AD33" s="145" t="s">
        <v>54</v>
      </c>
      <c r="AE33" s="146"/>
      <c r="AF33" s="146"/>
      <c r="AG33" s="147">
        <f>SUMIF(A218:A295,"พระยาบรรลือ",X218:X295)+_xlfn.SUMIFS(X218:X295,A218:A295,"ปทุมธานี",AA219:AA296,"block 2-2")+_xlfn.SUMIFS(X218:X295,A218:A295,"นนทบุรี",AA219:AA296,"block 2-2")</f>
        <v>0</v>
      </c>
      <c r="AH33" s="148" t="s">
        <v>55</v>
      </c>
    </row>
    <row r="34" spans="1:26" s="99" customFormat="1" ht="27.75" customHeight="1" hidden="1">
      <c r="A34" s="85" t="s">
        <v>63</v>
      </c>
      <c r="B34" s="140">
        <v>16</v>
      </c>
      <c r="C34" s="85" t="s">
        <v>80</v>
      </c>
      <c r="D34" s="157"/>
      <c r="E34" s="151"/>
      <c r="F34" s="157"/>
      <c r="G34" s="151"/>
      <c r="H34" s="88">
        <v>1</v>
      </c>
      <c r="I34" s="89">
        <v>2.7</v>
      </c>
      <c r="J34" s="141"/>
      <c r="K34" s="141"/>
      <c r="L34" s="141"/>
      <c r="M34" s="141"/>
      <c r="N34" s="135">
        <v>0.5</v>
      </c>
      <c r="O34" s="92">
        <v>2</v>
      </c>
      <c r="P34" s="90"/>
      <c r="Q34" s="141"/>
      <c r="R34" s="141"/>
      <c r="S34" s="142"/>
      <c r="T34" s="95"/>
      <c r="U34" s="90"/>
      <c r="V34" s="141"/>
      <c r="W34" s="143"/>
      <c r="X34" s="96">
        <f t="shared" si="0"/>
        <v>0</v>
      </c>
      <c r="Y34" s="144"/>
      <c r="Z34" s="98" t="s">
        <v>45</v>
      </c>
    </row>
    <row r="35" spans="1:34" s="99" customFormat="1" ht="27.75" customHeight="1" hidden="1">
      <c r="A35" s="85" t="s">
        <v>63</v>
      </c>
      <c r="B35" s="140">
        <v>17</v>
      </c>
      <c r="C35" s="85" t="s">
        <v>81</v>
      </c>
      <c r="D35" s="157"/>
      <c r="E35" s="151"/>
      <c r="F35" s="157"/>
      <c r="G35" s="151"/>
      <c r="H35" s="88">
        <v>1</v>
      </c>
      <c r="I35" s="89">
        <v>1</v>
      </c>
      <c r="J35" s="141"/>
      <c r="K35" s="141"/>
      <c r="L35" s="141"/>
      <c r="M35" s="141"/>
      <c r="N35" s="135">
        <v>0.5</v>
      </c>
      <c r="O35" s="92">
        <v>1</v>
      </c>
      <c r="P35" s="90"/>
      <c r="Q35" s="141"/>
      <c r="R35" s="141"/>
      <c r="S35" s="142"/>
      <c r="T35" s="95"/>
      <c r="U35" s="90"/>
      <c r="V35" s="141"/>
      <c r="W35" s="143"/>
      <c r="X35" s="96">
        <f t="shared" si="0"/>
        <v>0</v>
      </c>
      <c r="Y35" s="144"/>
      <c r="Z35" s="98" t="s">
        <v>45</v>
      </c>
      <c r="AD35" s="158" t="s">
        <v>82</v>
      </c>
      <c r="AE35" s="159"/>
      <c r="AF35" s="159"/>
      <c r="AG35" s="159"/>
      <c r="AH35" s="150"/>
    </row>
    <row r="36" spans="1:34" s="99" customFormat="1" ht="27.75" customHeight="1" thickBot="1">
      <c r="A36" s="85" t="s">
        <v>63</v>
      </c>
      <c r="B36" s="86">
        <v>18</v>
      </c>
      <c r="C36" s="85" t="s">
        <v>83</v>
      </c>
      <c r="D36" s="161"/>
      <c r="E36" s="160"/>
      <c r="F36" s="161"/>
      <c r="G36" s="160"/>
      <c r="H36" s="88">
        <v>1</v>
      </c>
      <c r="I36" s="89">
        <v>2</v>
      </c>
      <c r="J36" s="93"/>
      <c r="K36" s="93"/>
      <c r="L36" s="93"/>
      <c r="M36" s="93"/>
      <c r="N36" s="91"/>
      <c r="O36" s="149"/>
      <c r="P36" s="90"/>
      <c r="Q36" s="93"/>
      <c r="R36" s="93"/>
      <c r="S36" s="142"/>
      <c r="T36" s="95"/>
      <c r="U36" s="90"/>
      <c r="V36" s="93"/>
      <c r="W36" s="90"/>
      <c r="X36" s="96">
        <f t="shared" si="0"/>
        <v>0</v>
      </c>
      <c r="Y36" s="97"/>
      <c r="Z36" s="98" t="s">
        <v>45</v>
      </c>
      <c r="AD36" s="585" t="s">
        <v>46</v>
      </c>
      <c r="AE36" s="586"/>
      <c r="AF36" s="586"/>
      <c r="AG36" s="100"/>
      <c r="AH36" s="101"/>
    </row>
    <row r="37" spans="1:36" s="99" customFormat="1" ht="27.75" customHeight="1" hidden="1">
      <c r="A37" s="85" t="s">
        <v>63</v>
      </c>
      <c r="B37" s="140">
        <v>19</v>
      </c>
      <c r="C37" s="85" t="s">
        <v>84</v>
      </c>
      <c r="D37" s="157"/>
      <c r="E37" s="151"/>
      <c r="F37" s="157"/>
      <c r="G37" s="151"/>
      <c r="H37" s="88">
        <v>1</v>
      </c>
      <c r="I37" s="89">
        <v>4</v>
      </c>
      <c r="J37" s="141"/>
      <c r="K37" s="141"/>
      <c r="L37" s="141"/>
      <c r="M37" s="141"/>
      <c r="N37" s="135">
        <v>3</v>
      </c>
      <c r="O37" s="92">
        <v>3</v>
      </c>
      <c r="P37" s="90"/>
      <c r="Q37" s="141"/>
      <c r="R37" s="141"/>
      <c r="S37" s="142"/>
      <c r="T37" s="95"/>
      <c r="U37" s="90"/>
      <c r="V37" s="141"/>
      <c r="W37" s="143"/>
      <c r="X37" s="96">
        <f t="shared" si="0"/>
        <v>0</v>
      </c>
      <c r="Y37" s="144"/>
      <c r="Z37" s="98" t="s">
        <v>45</v>
      </c>
      <c r="AD37" s="587" t="s">
        <v>48</v>
      </c>
      <c r="AE37" s="578"/>
      <c r="AF37" s="578"/>
      <c r="AG37" s="100">
        <f>_xlfn.COUNTIFS(A120:A216,"พระพิมล",B120:B216,"&gt;0")</f>
        <v>29</v>
      </c>
      <c r="AH37" s="101" t="s">
        <v>49</v>
      </c>
      <c r="AI37" s="102"/>
      <c r="AJ37" s="138"/>
    </row>
    <row r="38" spans="1:51" s="99" customFormat="1" ht="27.75" customHeight="1" hidden="1">
      <c r="A38" s="85" t="s">
        <v>63</v>
      </c>
      <c r="B38" s="140">
        <v>20</v>
      </c>
      <c r="C38" s="85" t="s">
        <v>85</v>
      </c>
      <c r="D38" s="157"/>
      <c r="E38" s="151"/>
      <c r="F38" s="157"/>
      <c r="G38" s="151"/>
      <c r="H38" s="88">
        <v>1</v>
      </c>
      <c r="I38" s="89">
        <v>4</v>
      </c>
      <c r="J38" s="141"/>
      <c r="K38" s="141"/>
      <c r="L38" s="141"/>
      <c r="M38" s="141"/>
      <c r="N38" s="135">
        <v>3</v>
      </c>
      <c r="O38" s="92">
        <v>3</v>
      </c>
      <c r="P38" s="90"/>
      <c r="Q38" s="141"/>
      <c r="R38" s="141"/>
      <c r="S38" s="142"/>
      <c r="T38" s="95"/>
      <c r="U38" s="90"/>
      <c r="V38" s="141"/>
      <c r="W38" s="143"/>
      <c r="X38" s="96">
        <f t="shared" si="0"/>
        <v>0</v>
      </c>
      <c r="Y38" s="144"/>
      <c r="Z38" s="98" t="s">
        <v>45</v>
      </c>
      <c r="AA38" s="126"/>
      <c r="AB38" s="131"/>
      <c r="AC38" s="131"/>
      <c r="AD38" s="104" t="s">
        <v>51</v>
      </c>
      <c r="AE38" s="105"/>
      <c r="AF38" s="105"/>
      <c r="AG38" s="106">
        <f>_xlfn.SUMIFS(O120:O216,A120:A216,"พระพิมล",O120:O216,"&gt;0")</f>
        <v>28</v>
      </c>
      <c r="AH38" s="100" t="s">
        <v>33</v>
      </c>
      <c r="AI38" s="162">
        <f>_xlfn.COUNTIFS(A111:A217,"พระพิมล",O111:O217,"&gt;0")</f>
        <v>4</v>
      </c>
      <c r="AJ38" s="152" t="s">
        <v>49</v>
      </c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</row>
    <row r="39" spans="1:34" s="99" customFormat="1" ht="27.75" customHeight="1" hidden="1">
      <c r="A39" s="85" t="s">
        <v>63</v>
      </c>
      <c r="B39" s="140">
        <v>21</v>
      </c>
      <c r="C39" s="85" t="s">
        <v>86</v>
      </c>
      <c r="D39" s="157"/>
      <c r="E39" s="151"/>
      <c r="F39" s="157"/>
      <c r="G39" s="151"/>
      <c r="H39" s="88">
        <v>1</v>
      </c>
      <c r="I39" s="89">
        <v>3</v>
      </c>
      <c r="J39" s="141"/>
      <c r="K39" s="141"/>
      <c r="L39" s="141"/>
      <c r="M39" s="141"/>
      <c r="N39" s="135">
        <v>1</v>
      </c>
      <c r="O39" s="92">
        <v>2</v>
      </c>
      <c r="P39" s="90"/>
      <c r="Q39" s="141"/>
      <c r="R39" s="141"/>
      <c r="S39" s="94"/>
      <c r="T39" s="95"/>
      <c r="U39" s="93"/>
      <c r="V39" s="141"/>
      <c r="W39" s="141"/>
      <c r="X39" s="96">
        <f t="shared" si="0"/>
        <v>0</v>
      </c>
      <c r="Y39" s="144"/>
      <c r="Z39" s="98" t="s">
        <v>45</v>
      </c>
      <c r="AD39" s="104" t="s">
        <v>53</v>
      </c>
      <c r="AE39" s="105"/>
      <c r="AF39" s="105"/>
      <c r="AG39" s="154">
        <f>_xlfn.SUMIFS(T120:T216,A120:A216,"พระพิมล",S120:S216,"&gt;0")</f>
        <v>31</v>
      </c>
      <c r="AH39" s="101" t="s">
        <v>33</v>
      </c>
    </row>
    <row r="40" spans="1:34" s="99" customFormat="1" ht="27.75" customHeight="1" hidden="1">
      <c r="A40" s="85" t="s">
        <v>63</v>
      </c>
      <c r="B40" s="140">
        <v>22</v>
      </c>
      <c r="C40" s="85" t="s">
        <v>87</v>
      </c>
      <c r="D40" s="157"/>
      <c r="E40" s="151"/>
      <c r="F40" s="157"/>
      <c r="G40" s="151"/>
      <c r="H40" s="88">
        <v>1</v>
      </c>
      <c r="I40" s="89">
        <v>6</v>
      </c>
      <c r="J40" s="141"/>
      <c r="K40" s="141"/>
      <c r="L40" s="141"/>
      <c r="M40" s="141"/>
      <c r="N40" s="135">
        <v>3</v>
      </c>
      <c r="O40" s="92">
        <v>3</v>
      </c>
      <c r="P40" s="90"/>
      <c r="Q40" s="141"/>
      <c r="R40" s="141"/>
      <c r="S40" s="142"/>
      <c r="T40" s="95"/>
      <c r="U40" s="90"/>
      <c r="V40" s="141"/>
      <c r="W40" s="143"/>
      <c r="X40" s="96">
        <f t="shared" si="0"/>
        <v>0</v>
      </c>
      <c r="Y40" s="144"/>
      <c r="Z40" s="98" t="s">
        <v>45</v>
      </c>
      <c r="AD40" s="145" t="s">
        <v>54</v>
      </c>
      <c r="AE40" s="146"/>
      <c r="AF40" s="146"/>
      <c r="AG40" s="147">
        <f>SUMIF(A120:A216,"พระพิมล",X120:X216)+SUMIF(A120:A216,"สมุทรสาคร",X120:X216)</f>
        <v>0</v>
      </c>
      <c r="AH40" s="148" t="s">
        <v>55</v>
      </c>
    </row>
    <row r="41" spans="1:34" s="126" customFormat="1" ht="27.75" customHeight="1">
      <c r="A41" s="85" t="s">
        <v>88</v>
      </c>
      <c r="B41" s="115">
        <v>1</v>
      </c>
      <c r="C41" s="85" t="s">
        <v>89</v>
      </c>
      <c r="D41" s="163"/>
      <c r="E41" s="163"/>
      <c r="F41" s="163"/>
      <c r="G41" s="163"/>
      <c r="H41" s="88">
        <v>1</v>
      </c>
      <c r="I41" s="89">
        <v>6</v>
      </c>
      <c r="J41" s="117"/>
      <c r="K41" s="117"/>
      <c r="L41" s="117"/>
      <c r="M41" s="117"/>
      <c r="N41" s="135">
        <v>3</v>
      </c>
      <c r="O41" s="92">
        <v>5</v>
      </c>
      <c r="P41" s="117"/>
      <c r="Q41" s="117"/>
      <c r="R41" s="117"/>
      <c r="S41" s="94">
        <v>3</v>
      </c>
      <c r="T41" s="95">
        <v>2</v>
      </c>
      <c r="U41" s="117"/>
      <c r="V41" s="117"/>
      <c r="W41" s="117"/>
      <c r="X41" s="96">
        <f t="shared" si="0"/>
        <v>0</v>
      </c>
      <c r="Y41" s="124"/>
      <c r="Z41" s="125" t="s">
        <v>45</v>
      </c>
      <c r="AD41" s="591" t="s">
        <v>60</v>
      </c>
      <c r="AE41" s="592"/>
      <c r="AF41" s="592"/>
      <c r="AG41" s="128"/>
      <c r="AH41" s="129"/>
    </row>
    <row r="42" spans="1:36" s="99" customFormat="1" ht="27.75" customHeight="1" thickBot="1">
      <c r="A42" s="85" t="s">
        <v>88</v>
      </c>
      <c r="B42" s="86">
        <v>2</v>
      </c>
      <c r="C42" s="85" t="s">
        <v>90</v>
      </c>
      <c r="D42" s="164"/>
      <c r="E42" s="164"/>
      <c r="F42" s="164"/>
      <c r="G42" s="164"/>
      <c r="H42" s="88">
        <v>1</v>
      </c>
      <c r="I42" s="89">
        <v>6</v>
      </c>
      <c r="J42" s="93"/>
      <c r="K42" s="93"/>
      <c r="L42" s="93"/>
      <c r="M42" s="93"/>
      <c r="N42" s="135">
        <v>3</v>
      </c>
      <c r="O42" s="92">
        <v>5</v>
      </c>
      <c r="P42" s="93"/>
      <c r="Q42" s="93"/>
      <c r="R42" s="93"/>
      <c r="S42" s="94">
        <v>3</v>
      </c>
      <c r="T42" s="95">
        <v>2</v>
      </c>
      <c r="U42" s="93"/>
      <c r="V42" s="93"/>
      <c r="W42" s="93"/>
      <c r="X42" s="96">
        <f t="shared" si="0"/>
        <v>0</v>
      </c>
      <c r="Y42" s="97"/>
      <c r="Z42" s="98" t="s">
        <v>45</v>
      </c>
      <c r="AB42" s="100"/>
      <c r="AC42" s="100"/>
      <c r="AD42" s="587" t="s">
        <v>48</v>
      </c>
      <c r="AE42" s="578"/>
      <c r="AF42" s="578"/>
      <c r="AG42" s="165">
        <f>_xlfn.COUNTIFS(A218:A295,"พระพิมล",B218:B295,"&gt;0")+COUNTIF(AA219:AA296,"block 3-2")</f>
        <v>23</v>
      </c>
      <c r="AH42" s="101" t="s">
        <v>49</v>
      </c>
      <c r="AI42" s="102"/>
      <c r="AJ42" s="138"/>
    </row>
    <row r="43" spans="1:51" s="99" customFormat="1" ht="27.75" customHeight="1" thickBot="1">
      <c r="A43" s="85" t="s">
        <v>88</v>
      </c>
      <c r="B43" s="86">
        <v>3</v>
      </c>
      <c r="C43" s="85" t="s">
        <v>91</v>
      </c>
      <c r="D43" s="164"/>
      <c r="E43" s="164"/>
      <c r="F43" s="164"/>
      <c r="G43" s="164"/>
      <c r="H43" s="88">
        <v>1</v>
      </c>
      <c r="I43" s="89">
        <v>2</v>
      </c>
      <c r="J43" s="93"/>
      <c r="K43" s="93"/>
      <c r="L43" s="93"/>
      <c r="M43" s="93"/>
      <c r="N43" s="135"/>
      <c r="O43" s="92"/>
      <c r="P43" s="90"/>
      <c r="Q43" s="93"/>
      <c r="R43" s="93"/>
      <c r="S43" s="94">
        <v>1</v>
      </c>
      <c r="T43" s="95">
        <v>1</v>
      </c>
      <c r="U43" s="90"/>
      <c r="V43" s="90"/>
      <c r="W43" s="90"/>
      <c r="X43" s="96">
        <f t="shared" si="0"/>
        <v>0</v>
      </c>
      <c r="Y43" s="97"/>
      <c r="Z43" s="98"/>
      <c r="AA43" s="126"/>
      <c r="AB43" s="131"/>
      <c r="AC43" s="131"/>
      <c r="AD43" s="104" t="s">
        <v>51</v>
      </c>
      <c r="AE43" s="105"/>
      <c r="AF43" s="105"/>
      <c r="AG43" s="106">
        <f>_xlfn.SUMIFS(O218:O295,A218:A295,"พระพิมล",O218:O295,"&gt;0")+SUMIF(AA219:AA296,"block 3-2",O218:O295)</f>
        <v>20</v>
      </c>
      <c r="AH43" s="100" t="s">
        <v>33</v>
      </c>
      <c r="AI43" s="166">
        <f>_xlfn.COUNTIFS(A220:A309,"พระพิมล",O220:O309,"&gt;0")+_xlfn.COUNTIFS(AA221:AA310,"block 3-2",O220:O309,"&gt;0")</f>
        <v>12</v>
      </c>
      <c r="AJ43" s="152" t="s">
        <v>49</v>
      </c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</row>
    <row r="44" spans="1:51" s="99" customFormat="1" ht="27.75" customHeight="1">
      <c r="A44" s="85" t="s">
        <v>88</v>
      </c>
      <c r="B44" s="86">
        <v>4</v>
      </c>
      <c r="C44" s="85" t="s">
        <v>92</v>
      </c>
      <c r="D44" s="164"/>
      <c r="E44" s="164"/>
      <c r="F44" s="164"/>
      <c r="G44" s="164"/>
      <c r="H44" s="88">
        <v>1</v>
      </c>
      <c r="I44" s="89">
        <v>4</v>
      </c>
      <c r="J44" s="93"/>
      <c r="K44" s="93"/>
      <c r="L44" s="93"/>
      <c r="M44" s="93"/>
      <c r="N44" s="135"/>
      <c r="O44" s="92"/>
      <c r="P44" s="93"/>
      <c r="Q44" s="93"/>
      <c r="R44" s="93"/>
      <c r="S44" s="94">
        <v>0.8</v>
      </c>
      <c r="T44" s="95">
        <v>1</v>
      </c>
      <c r="U44" s="90"/>
      <c r="V44" s="90"/>
      <c r="W44" s="90"/>
      <c r="X44" s="96">
        <f t="shared" si="0"/>
        <v>0</v>
      </c>
      <c r="Y44" s="97"/>
      <c r="Z44" s="98"/>
      <c r="AA44" s="126"/>
      <c r="AB44" s="131"/>
      <c r="AC44" s="131"/>
      <c r="AD44" s="104" t="s">
        <v>53</v>
      </c>
      <c r="AE44" s="105"/>
      <c r="AF44" s="105"/>
      <c r="AG44" s="106">
        <f>_xlfn.SUMIFS(T218:T295,A218:A295,"พระพิมล",S218:S295,"&gt;0")+SUMIF(AA219:AA296,"block 3-2",T218:T295)</f>
        <v>5</v>
      </c>
      <c r="AH44" s="101" t="s">
        <v>33</v>
      </c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</row>
    <row r="45" spans="1:51" s="99" customFormat="1" ht="27.75" customHeight="1" thickBot="1">
      <c r="A45" s="85" t="s">
        <v>88</v>
      </c>
      <c r="B45" s="86">
        <v>5</v>
      </c>
      <c r="C45" s="85" t="s">
        <v>93</v>
      </c>
      <c r="D45" s="164"/>
      <c r="E45" s="164"/>
      <c r="F45" s="164"/>
      <c r="G45" s="164"/>
      <c r="H45" s="88">
        <v>1</v>
      </c>
      <c r="I45" s="89">
        <v>6</v>
      </c>
      <c r="J45" s="93"/>
      <c r="K45" s="93"/>
      <c r="L45" s="93"/>
      <c r="M45" s="93"/>
      <c r="N45" s="135"/>
      <c r="O45" s="92"/>
      <c r="P45" s="93"/>
      <c r="Q45" s="93"/>
      <c r="R45" s="93"/>
      <c r="S45" s="142"/>
      <c r="T45" s="95"/>
      <c r="U45" s="90"/>
      <c r="V45" s="93"/>
      <c r="W45" s="90"/>
      <c r="X45" s="96">
        <f t="shared" si="0"/>
        <v>0</v>
      </c>
      <c r="Y45" s="97"/>
      <c r="Z45" s="98"/>
      <c r="AA45" s="126"/>
      <c r="AB45" s="128"/>
      <c r="AC45" s="128"/>
      <c r="AD45" s="145" t="s">
        <v>54</v>
      </c>
      <c r="AE45" s="146"/>
      <c r="AF45" s="146"/>
      <c r="AG45" s="147">
        <f>SUMIF(A218:A295,"พระพิมล",X218:X295)+SUMIF(AA219:AA296,"block 3-2",X218:X295)</f>
        <v>0</v>
      </c>
      <c r="AH45" s="148" t="s">
        <v>55</v>
      </c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</row>
    <row r="46" spans="1:51" s="99" customFormat="1" ht="27.75" customHeight="1" thickBot="1">
      <c r="A46" s="85" t="s">
        <v>88</v>
      </c>
      <c r="B46" s="86">
        <v>6</v>
      </c>
      <c r="C46" s="85" t="s">
        <v>94</v>
      </c>
      <c r="D46" s="164"/>
      <c r="E46" s="164"/>
      <c r="F46" s="164"/>
      <c r="G46" s="164"/>
      <c r="H46" s="88">
        <v>1</v>
      </c>
      <c r="I46" s="89">
        <v>6</v>
      </c>
      <c r="J46" s="93"/>
      <c r="K46" s="93"/>
      <c r="L46" s="93"/>
      <c r="M46" s="93"/>
      <c r="N46" s="135"/>
      <c r="O46" s="92"/>
      <c r="P46" s="93"/>
      <c r="Q46" s="93"/>
      <c r="R46" s="93"/>
      <c r="S46" s="167"/>
      <c r="T46" s="95"/>
      <c r="U46" s="90"/>
      <c r="V46" s="93"/>
      <c r="W46" s="90"/>
      <c r="X46" s="96">
        <f t="shared" si="0"/>
        <v>0</v>
      </c>
      <c r="Y46" s="97"/>
      <c r="Z46" s="98"/>
      <c r="AA46" s="126"/>
      <c r="AB46" s="131"/>
      <c r="AC46" s="131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</row>
    <row r="47" spans="1:51" s="126" customFormat="1" ht="27.75" customHeight="1">
      <c r="A47" s="85" t="s">
        <v>88</v>
      </c>
      <c r="B47" s="115">
        <v>7</v>
      </c>
      <c r="C47" s="85" t="s">
        <v>95</v>
      </c>
      <c r="D47" s="164"/>
      <c r="E47" s="164"/>
      <c r="F47" s="164"/>
      <c r="G47" s="164"/>
      <c r="H47" s="88">
        <v>2</v>
      </c>
      <c r="I47" s="89">
        <v>6</v>
      </c>
      <c r="J47" s="93"/>
      <c r="K47" s="93"/>
      <c r="L47" s="93"/>
      <c r="M47" s="93"/>
      <c r="N47" s="135">
        <v>3</v>
      </c>
      <c r="O47" s="92">
        <v>4</v>
      </c>
      <c r="P47" s="90"/>
      <c r="Q47" s="89"/>
      <c r="R47" s="89"/>
      <c r="S47" s="142"/>
      <c r="T47" s="95"/>
      <c r="U47" s="90"/>
      <c r="V47" s="117"/>
      <c r="W47" s="89"/>
      <c r="X47" s="96">
        <f t="shared" si="0"/>
        <v>0</v>
      </c>
      <c r="Y47" s="97"/>
      <c r="Z47" s="125"/>
      <c r="AA47" s="168"/>
      <c r="AB47" s="131">
        <f>G47-F47</f>
        <v>0</v>
      </c>
      <c r="AC47" s="131">
        <f>G47</f>
        <v>0</v>
      </c>
      <c r="AD47" s="583" t="s">
        <v>96</v>
      </c>
      <c r="AE47" s="584"/>
      <c r="AF47" s="584"/>
      <c r="AG47" s="584"/>
      <c r="AH47" s="150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</row>
    <row r="48" spans="1:51" s="126" customFormat="1" ht="27.75" customHeight="1">
      <c r="A48" s="85" t="s">
        <v>88</v>
      </c>
      <c r="B48" s="115">
        <v>8</v>
      </c>
      <c r="C48" s="85" t="s">
        <v>97</v>
      </c>
      <c r="D48" s="164"/>
      <c r="E48" s="164"/>
      <c r="F48" s="164"/>
      <c r="G48" s="164"/>
      <c r="H48" s="88">
        <v>2</v>
      </c>
      <c r="I48" s="89">
        <v>6</v>
      </c>
      <c r="J48" s="93"/>
      <c r="K48" s="93"/>
      <c r="L48" s="93"/>
      <c r="M48" s="93"/>
      <c r="N48" s="135"/>
      <c r="O48" s="92"/>
      <c r="P48" s="93"/>
      <c r="Q48" s="93"/>
      <c r="R48" s="93"/>
      <c r="S48" s="167"/>
      <c r="T48" s="95">
        <v>2</v>
      </c>
      <c r="U48" s="90"/>
      <c r="V48" s="117"/>
      <c r="W48" s="89"/>
      <c r="X48" s="96">
        <f t="shared" si="0"/>
        <v>0</v>
      </c>
      <c r="Y48" s="124"/>
      <c r="Z48" s="125"/>
      <c r="AA48" s="99"/>
      <c r="AB48" s="131"/>
      <c r="AC48" s="169"/>
      <c r="AD48" s="585" t="s">
        <v>46</v>
      </c>
      <c r="AE48" s="586"/>
      <c r="AF48" s="586"/>
      <c r="AG48" s="100"/>
      <c r="AH48" s="101"/>
      <c r="AI48" s="170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</row>
    <row r="49" spans="1:51" s="126" customFormat="1" ht="27.75" customHeight="1" thickBot="1">
      <c r="A49" s="85" t="s">
        <v>88</v>
      </c>
      <c r="B49" s="115">
        <v>9</v>
      </c>
      <c r="C49" s="85" t="s">
        <v>98</v>
      </c>
      <c r="D49" s="164"/>
      <c r="E49" s="164"/>
      <c r="F49" s="164"/>
      <c r="G49" s="164"/>
      <c r="H49" s="88">
        <v>0.1</v>
      </c>
      <c r="I49" s="89">
        <v>4</v>
      </c>
      <c r="J49" s="93"/>
      <c r="K49" s="93"/>
      <c r="L49" s="93"/>
      <c r="M49" s="93"/>
      <c r="N49" s="135">
        <v>1</v>
      </c>
      <c r="O49" s="92">
        <v>2</v>
      </c>
      <c r="P49" s="93"/>
      <c r="Q49" s="93"/>
      <c r="R49" s="93"/>
      <c r="S49" s="167">
        <v>3</v>
      </c>
      <c r="T49" s="95">
        <v>2</v>
      </c>
      <c r="U49" s="93"/>
      <c r="V49" s="93"/>
      <c r="W49" s="93"/>
      <c r="X49" s="96">
        <f t="shared" si="0"/>
        <v>0</v>
      </c>
      <c r="Y49" s="97"/>
      <c r="Z49" s="125"/>
      <c r="AA49" s="99"/>
      <c r="AB49" s="131"/>
      <c r="AC49" s="131"/>
      <c r="AD49" s="587" t="s">
        <v>48</v>
      </c>
      <c r="AE49" s="578"/>
      <c r="AF49" s="578"/>
      <c r="AG49" s="154">
        <f>_xlfn.COUNTIFS(A120:A216,"ภาษีเจริญ",B120:B216,"&gt;0")+_xlfn.COUNTIFS(A120:A216,"สมุทรสาคร",B120:B216,"&gt;0")</f>
        <v>34</v>
      </c>
      <c r="AH49" s="101" t="s">
        <v>49</v>
      </c>
      <c r="AI49" s="171"/>
      <c r="AJ49" s="138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</row>
    <row r="50" spans="1:51" s="126" customFormat="1" ht="27.75" customHeight="1" thickBot="1">
      <c r="A50" s="85" t="s">
        <v>88</v>
      </c>
      <c r="B50" s="115">
        <v>10</v>
      </c>
      <c r="C50" s="85" t="s">
        <v>99</v>
      </c>
      <c r="D50" s="164"/>
      <c r="E50" s="164"/>
      <c r="F50" s="164"/>
      <c r="G50" s="164"/>
      <c r="H50" s="88">
        <v>1</v>
      </c>
      <c r="I50" s="89">
        <v>6</v>
      </c>
      <c r="J50" s="93"/>
      <c r="K50" s="93"/>
      <c r="L50" s="93"/>
      <c r="M50" s="93"/>
      <c r="N50" s="135">
        <v>3</v>
      </c>
      <c r="O50" s="92">
        <v>6</v>
      </c>
      <c r="P50" s="93"/>
      <c r="Q50" s="93"/>
      <c r="R50" s="93"/>
      <c r="S50" s="167">
        <v>3</v>
      </c>
      <c r="T50" s="95">
        <v>2</v>
      </c>
      <c r="U50" s="90"/>
      <c r="V50" s="117"/>
      <c r="W50" s="89"/>
      <c r="X50" s="96">
        <f t="shared" si="0"/>
        <v>0</v>
      </c>
      <c r="Y50" s="97"/>
      <c r="Z50" s="125"/>
      <c r="AA50" s="99"/>
      <c r="AB50" s="131">
        <f>G50-F50</f>
        <v>0</v>
      </c>
      <c r="AC50" s="131">
        <f>G50</f>
        <v>0</v>
      </c>
      <c r="AD50" s="104" t="s">
        <v>51</v>
      </c>
      <c r="AE50" s="105"/>
      <c r="AF50" s="105"/>
      <c r="AG50" s="154">
        <f>_xlfn.SUMIFS(O120:O216,A120:A216,"ภาษีเจริญ",O120:O216,"&gt;0")+_xlfn.SUMIFS(O120:O216,A120:A216,"สมุทรสาคร",O120:O216,"&gt;0")</f>
        <v>75</v>
      </c>
      <c r="AH50" s="100" t="s">
        <v>33</v>
      </c>
      <c r="AI50" s="172">
        <f>_xlfn.COUNTIFS(A111:A217,"ภาษีเจริญ",O111:O217,"&gt;0")+_xlfn.COUNTIFS(A111:A217,"สมุทรสาคร",O111:O217,"&gt;0")</f>
        <v>25</v>
      </c>
      <c r="AJ50" s="152" t="s">
        <v>49</v>
      </c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</row>
    <row r="51" spans="1:51" s="99" customFormat="1" ht="47.25" customHeight="1">
      <c r="A51" s="572" t="s">
        <v>100</v>
      </c>
      <c r="B51" s="573"/>
      <c r="C51" s="173"/>
      <c r="D51" s="174"/>
      <c r="E51" s="174"/>
      <c r="F51" s="174"/>
      <c r="G51" s="174"/>
      <c r="H51" s="175"/>
      <c r="I51" s="176"/>
      <c r="J51" s="176"/>
      <c r="K51" s="176"/>
      <c r="L51" s="177"/>
      <c r="M51" s="178">
        <f>SUM(M52:M61)</f>
        <v>0</v>
      </c>
      <c r="N51" s="176"/>
      <c r="O51" s="179">
        <f>SUM(O53:O61)</f>
        <v>14</v>
      </c>
      <c r="P51" s="180">
        <f>SUM(P53:P61)</f>
        <v>0</v>
      </c>
      <c r="Q51" s="181"/>
      <c r="R51" s="178">
        <f>SUM(R53:R61)</f>
        <v>0</v>
      </c>
      <c r="S51" s="176"/>
      <c r="T51" s="179">
        <f>SUM(T53:T61)</f>
        <v>16</v>
      </c>
      <c r="U51" s="182">
        <f>SUM(U53:U60)</f>
        <v>0</v>
      </c>
      <c r="V51" s="181"/>
      <c r="W51" s="178">
        <f>SUM(W53:W60)</f>
        <v>0</v>
      </c>
      <c r="X51" s="178">
        <f>SUM(X53:X60)</f>
        <v>0</v>
      </c>
      <c r="Y51" s="183"/>
      <c r="Z51" s="184"/>
      <c r="AA51" s="168">
        <f>+M51+R51+W51</f>
        <v>0</v>
      </c>
      <c r="AB51" s="131"/>
      <c r="AC51" s="131"/>
      <c r="AD51" s="104" t="s">
        <v>53</v>
      </c>
      <c r="AE51" s="105"/>
      <c r="AF51" s="105"/>
      <c r="AG51" s="154">
        <f>_xlfn.SUMIFS(T120:T216,A120:A216,"ภาษีเจริญ",S120:S216,"&gt;0")+_xlfn.SUMIFS(T120:T216,A120:A216,"สมุทรสาคร",S120:S216,"&gt;0")</f>
        <v>30</v>
      </c>
      <c r="AH51" s="101" t="s">
        <v>33</v>
      </c>
      <c r="AI51" s="185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</row>
    <row r="52" spans="1:35" s="126" customFormat="1" ht="35.25" customHeight="1">
      <c r="A52" s="186" t="s">
        <v>56</v>
      </c>
      <c r="B52" s="187">
        <v>1</v>
      </c>
      <c r="C52" s="114" t="s">
        <v>101</v>
      </c>
      <c r="D52" s="134"/>
      <c r="E52" s="134"/>
      <c r="F52" s="134"/>
      <c r="G52" s="134"/>
      <c r="H52" s="188">
        <v>1</v>
      </c>
      <c r="I52" s="89">
        <v>6</v>
      </c>
      <c r="J52" s="89"/>
      <c r="K52" s="89"/>
      <c r="L52" s="117"/>
      <c r="M52" s="117"/>
      <c r="N52" s="89"/>
      <c r="O52" s="189"/>
      <c r="P52" s="190"/>
      <c r="Q52" s="191"/>
      <c r="R52" s="192"/>
      <c r="S52" s="89"/>
      <c r="T52" s="189"/>
      <c r="U52" s="193"/>
      <c r="V52" s="191"/>
      <c r="W52" s="192"/>
      <c r="X52" s="194"/>
      <c r="Y52" s="195"/>
      <c r="Z52" s="196"/>
      <c r="AA52" s="169"/>
      <c r="AB52" s="131"/>
      <c r="AC52" s="131"/>
      <c r="AD52" s="197"/>
      <c r="AE52" s="198"/>
      <c r="AF52" s="198"/>
      <c r="AG52" s="199"/>
      <c r="AH52" s="129"/>
      <c r="AI52" s="185"/>
    </row>
    <row r="53" spans="1:35" s="99" customFormat="1" ht="27.75" customHeight="1" thickBot="1">
      <c r="A53" s="85" t="s">
        <v>56</v>
      </c>
      <c r="B53" s="86">
        <v>1</v>
      </c>
      <c r="C53" s="85" t="s">
        <v>102</v>
      </c>
      <c r="D53" s="200">
        <v>1.02</v>
      </c>
      <c r="E53" s="200">
        <v>1.12</v>
      </c>
      <c r="F53" s="200">
        <v>0.98</v>
      </c>
      <c r="G53" s="200">
        <v>1.22</v>
      </c>
      <c r="H53" s="88">
        <v>0.5</v>
      </c>
      <c r="I53" s="89">
        <v>1</v>
      </c>
      <c r="J53" s="90"/>
      <c r="K53" s="89"/>
      <c r="L53" s="89"/>
      <c r="M53" s="89"/>
      <c r="N53" s="135">
        <v>3</v>
      </c>
      <c r="O53" s="92">
        <v>5</v>
      </c>
      <c r="P53" s="90"/>
      <c r="Q53" s="90"/>
      <c r="R53" s="90"/>
      <c r="S53" s="167">
        <v>3</v>
      </c>
      <c r="T53" s="95">
        <v>6</v>
      </c>
      <c r="U53" s="93"/>
      <c r="V53" s="93"/>
      <c r="W53" s="93"/>
      <c r="X53" s="96">
        <f aca="true" t="shared" si="1" ref="X53:X60">M53+R53+W53</f>
        <v>0</v>
      </c>
      <c r="Y53" s="201"/>
      <c r="Z53" s="98" t="s">
        <v>103</v>
      </c>
      <c r="AB53" s="131">
        <f>G53-F53</f>
        <v>0.24</v>
      </c>
      <c r="AC53" s="169">
        <f>+G53</f>
        <v>1.22</v>
      </c>
      <c r="AD53" s="145" t="s">
        <v>54</v>
      </c>
      <c r="AE53" s="146"/>
      <c r="AF53" s="146"/>
      <c r="AG53" s="147">
        <f>SUMIF(A120:A216,"ภาษีเจริญ",X120:X216)+SUMIF(A120:A216,"สมุทรสาคร",X120:X216)</f>
        <v>0</v>
      </c>
      <c r="AH53" s="148" t="s">
        <v>55</v>
      </c>
      <c r="AI53" s="170"/>
    </row>
    <row r="54" spans="1:51" s="99" customFormat="1" ht="27.75" customHeight="1" thickBot="1">
      <c r="A54" s="85" t="s">
        <v>56</v>
      </c>
      <c r="B54" s="86">
        <v>2</v>
      </c>
      <c r="C54" s="85" t="s">
        <v>104</v>
      </c>
      <c r="D54" s="134">
        <v>1.07</v>
      </c>
      <c r="E54" s="134">
        <v>1.2</v>
      </c>
      <c r="F54" s="134">
        <v>1.03</v>
      </c>
      <c r="G54" s="134">
        <v>1.18</v>
      </c>
      <c r="H54" s="88">
        <v>0.19</v>
      </c>
      <c r="I54" s="89">
        <v>6</v>
      </c>
      <c r="J54" s="93"/>
      <c r="K54" s="93"/>
      <c r="L54" s="93"/>
      <c r="M54" s="90"/>
      <c r="N54" s="91"/>
      <c r="O54" s="149"/>
      <c r="P54" s="93"/>
      <c r="Q54" s="90"/>
      <c r="R54" s="93"/>
      <c r="S54" s="142"/>
      <c r="T54" s="95"/>
      <c r="U54" s="90"/>
      <c r="V54" s="93"/>
      <c r="W54" s="90"/>
      <c r="X54" s="96">
        <f t="shared" si="1"/>
        <v>0</v>
      </c>
      <c r="Y54" s="97"/>
      <c r="Z54" s="98" t="s">
        <v>103</v>
      </c>
      <c r="AA54" s="126"/>
      <c r="AB54" s="131">
        <f>G54-F54</f>
        <v>0.1499999999999999</v>
      </c>
      <c r="AC54" s="131"/>
      <c r="AD54" s="100"/>
      <c r="AE54" s="202"/>
      <c r="AI54" s="203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</row>
    <row r="55" spans="1:35" s="99" customFormat="1" ht="27.75" customHeight="1">
      <c r="A55" s="85" t="s">
        <v>56</v>
      </c>
      <c r="B55" s="86">
        <v>3</v>
      </c>
      <c r="C55" s="85" t="s">
        <v>105</v>
      </c>
      <c r="D55" s="204">
        <v>1.32</v>
      </c>
      <c r="E55" s="204">
        <v>1.18</v>
      </c>
      <c r="F55" s="204">
        <v>1.25</v>
      </c>
      <c r="G55" s="204">
        <v>1.2</v>
      </c>
      <c r="H55" s="88">
        <v>0.15</v>
      </c>
      <c r="I55" s="89">
        <v>6</v>
      </c>
      <c r="J55" s="89"/>
      <c r="K55" s="89"/>
      <c r="L55" s="90"/>
      <c r="M55" s="90"/>
      <c r="N55" s="91"/>
      <c r="O55" s="149"/>
      <c r="P55" s="93"/>
      <c r="Q55" s="117"/>
      <c r="R55" s="117"/>
      <c r="S55" s="142"/>
      <c r="T55" s="95"/>
      <c r="U55" s="90"/>
      <c r="V55" s="93"/>
      <c r="W55" s="89"/>
      <c r="X55" s="96">
        <f t="shared" si="1"/>
        <v>0</v>
      </c>
      <c r="Y55" s="97"/>
      <c r="Z55" s="98" t="s">
        <v>103</v>
      </c>
      <c r="AD55" s="583" t="s">
        <v>106</v>
      </c>
      <c r="AE55" s="584"/>
      <c r="AF55" s="584"/>
      <c r="AG55" s="584"/>
      <c r="AH55" s="150"/>
      <c r="AI55" s="202"/>
    </row>
    <row r="56" spans="1:51" s="126" customFormat="1" ht="27.75" customHeight="1">
      <c r="A56" s="85" t="s">
        <v>56</v>
      </c>
      <c r="B56" s="86">
        <v>4</v>
      </c>
      <c r="C56" s="85" t="s">
        <v>107</v>
      </c>
      <c r="D56" s="134">
        <v>0.92</v>
      </c>
      <c r="E56" s="134">
        <v>0.68</v>
      </c>
      <c r="F56" s="134">
        <v>0.98</v>
      </c>
      <c r="G56" s="134">
        <v>0.71</v>
      </c>
      <c r="H56" s="88">
        <v>0.41</v>
      </c>
      <c r="I56" s="89">
        <v>6</v>
      </c>
      <c r="J56" s="93"/>
      <c r="K56" s="93"/>
      <c r="L56" s="93"/>
      <c r="M56" s="93"/>
      <c r="N56" s="91"/>
      <c r="O56" s="149"/>
      <c r="P56" s="93"/>
      <c r="Q56" s="93"/>
      <c r="R56" s="93"/>
      <c r="S56" s="142"/>
      <c r="T56" s="95"/>
      <c r="U56" s="90"/>
      <c r="V56" s="93"/>
      <c r="W56" s="90"/>
      <c r="X56" s="96">
        <f t="shared" si="1"/>
        <v>0</v>
      </c>
      <c r="Y56" s="97"/>
      <c r="Z56" s="125" t="s">
        <v>103</v>
      </c>
      <c r="AA56" s="99"/>
      <c r="AB56" s="131">
        <f>G55-F55</f>
        <v>-0.050000000000000044</v>
      </c>
      <c r="AC56" s="131"/>
      <c r="AD56" s="585" t="s">
        <v>108</v>
      </c>
      <c r="AE56" s="586"/>
      <c r="AF56" s="586"/>
      <c r="AG56" s="100"/>
      <c r="AH56" s="101"/>
      <c r="AI56" s="202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</row>
    <row r="57" spans="1:36" s="99" customFormat="1" ht="27.75" customHeight="1" thickBot="1">
      <c r="A57" s="85" t="s">
        <v>56</v>
      </c>
      <c r="B57" s="86">
        <v>5</v>
      </c>
      <c r="C57" s="85" t="s">
        <v>109</v>
      </c>
      <c r="D57" s="200">
        <v>1.04</v>
      </c>
      <c r="E57" s="200">
        <v>1.04</v>
      </c>
      <c r="F57" s="200">
        <v>1.09</v>
      </c>
      <c r="G57" s="200">
        <v>1.12</v>
      </c>
      <c r="H57" s="88">
        <v>1</v>
      </c>
      <c r="I57" s="89">
        <v>6</v>
      </c>
      <c r="J57" s="93"/>
      <c r="K57" s="93"/>
      <c r="L57" s="93"/>
      <c r="M57" s="93"/>
      <c r="N57" s="135">
        <v>3</v>
      </c>
      <c r="O57" s="92">
        <v>5</v>
      </c>
      <c r="P57" s="93"/>
      <c r="Q57" s="93"/>
      <c r="R57" s="90"/>
      <c r="S57" s="94">
        <v>3</v>
      </c>
      <c r="T57" s="95">
        <v>6</v>
      </c>
      <c r="U57" s="93"/>
      <c r="V57" s="93"/>
      <c r="W57" s="93"/>
      <c r="X57" s="96">
        <f t="shared" si="1"/>
        <v>0</v>
      </c>
      <c r="Y57" s="97"/>
      <c r="Z57" s="98" t="s">
        <v>103</v>
      </c>
      <c r="AD57" s="587" t="s">
        <v>48</v>
      </c>
      <c r="AE57" s="578"/>
      <c r="AF57" s="578"/>
      <c r="AG57" s="154">
        <f>_xlfn.COUNTIFS(A298:A303,"สมุทรสาคร",B298:B303,"&gt;0")</f>
        <v>6</v>
      </c>
      <c r="AH57" s="101" t="s">
        <v>49</v>
      </c>
      <c r="AI57" s="205"/>
      <c r="AJ57" s="138"/>
    </row>
    <row r="58" spans="1:51" s="126" customFormat="1" ht="27.75" customHeight="1" thickBot="1">
      <c r="A58" s="85" t="s">
        <v>56</v>
      </c>
      <c r="B58" s="86">
        <v>6</v>
      </c>
      <c r="C58" s="85" t="s">
        <v>110</v>
      </c>
      <c r="D58" s="200">
        <v>0.98</v>
      </c>
      <c r="E58" s="200">
        <v>1.01</v>
      </c>
      <c r="F58" s="200">
        <v>0.97</v>
      </c>
      <c r="G58" s="200">
        <v>1.07</v>
      </c>
      <c r="H58" s="88">
        <v>1</v>
      </c>
      <c r="I58" s="89">
        <v>6</v>
      </c>
      <c r="J58" s="93"/>
      <c r="K58" s="93"/>
      <c r="L58" s="93"/>
      <c r="M58" s="93"/>
      <c r="N58" s="135">
        <v>3</v>
      </c>
      <c r="O58" s="92">
        <v>4</v>
      </c>
      <c r="P58" s="93"/>
      <c r="Q58" s="93"/>
      <c r="R58" s="90"/>
      <c r="S58" s="94">
        <v>3</v>
      </c>
      <c r="T58" s="95">
        <v>4</v>
      </c>
      <c r="U58" s="93"/>
      <c r="V58" s="93"/>
      <c r="W58" s="93"/>
      <c r="X58" s="96">
        <f t="shared" si="1"/>
        <v>0</v>
      </c>
      <c r="Y58" s="97"/>
      <c r="Z58" s="125"/>
      <c r="AA58" s="99"/>
      <c r="AD58" s="104" t="s">
        <v>51</v>
      </c>
      <c r="AE58" s="105"/>
      <c r="AF58" s="105"/>
      <c r="AG58" s="154">
        <f>_xlfn.SUMIFS(O298:O303,A298:A303,"สมุทรสาคร",O298:O303,"&gt;0")</f>
        <v>0</v>
      </c>
      <c r="AH58" s="100" t="s">
        <v>33</v>
      </c>
      <c r="AI58" s="155">
        <f>_xlfn.COUNTIFS(A220:A309,"สมุทรสาคร",O220:O309,"&gt;0")</f>
        <v>0</v>
      </c>
      <c r="AJ58" s="152" t="s">
        <v>49</v>
      </c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</row>
    <row r="59" spans="1:34" s="99" customFormat="1" ht="27.75" customHeight="1">
      <c r="A59" s="85" t="s">
        <v>56</v>
      </c>
      <c r="B59" s="86">
        <v>7</v>
      </c>
      <c r="C59" s="85" t="s">
        <v>111</v>
      </c>
      <c r="D59" s="200">
        <v>0.95</v>
      </c>
      <c r="E59" s="200">
        <v>1</v>
      </c>
      <c r="F59" s="200">
        <v>0.95</v>
      </c>
      <c r="G59" s="200">
        <v>1.05</v>
      </c>
      <c r="H59" s="88">
        <v>1</v>
      </c>
      <c r="I59" s="89">
        <v>6</v>
      </c>
      <c r="J59" s="93"/>
      <c r="K59" s="93"/>
      <c r="L59" s="93"/>
      <c r="M59" s="93"/>
      <c r="N59" s="91"/>
      <c r="O59" s="149"/>
      <c r="P59" s="93"/>
      <c r="Q59" s="93"/>
      <c r="R59" s="93"/>
      <c r="S59" s="142"/>
      <c r="T59" s="95"/>
      <c r="U59" s="90"/>
      <c r="V59" s="93"/>
      <c r="W59" s="206"/>
      <c r="X59" s="96">
        <f t="shared" si="1"/>
        <v>0</v>
      </c>
      <c r="Y59" s="97"/>
      <c r="Z59" s="98" t="s">
        <v>103</v>
      </c>
      <c r="AA59" s="168"/>
      <c r="AB59" s="131"/>
      <c r="AC59" s="169"/>
      <c r="AD59" s="104" t="s">
        <v>53</v>
      </c>
      <c r="AE59" s="105"/>
      <c r="AF59" s="105"/>
      <c r="AG59" s="154">
        <f>_xlfn.SUMIFS(T298:T303,A298:A303,"สมุทรสาคร",S298:S303,"&gt;0")</f>
        <v>0</v>
      </c>
      <c r="AH59" s="101" t="s">
        <v>33</v>
      </c>
    </row>
    <row r="60" spans="1:51" s="99" customFormat="1" ht="27.75" customHeight="1" thickBot="1">
      <c r="A60" s="85" t="s">
        <v>56</v>
      </c>
      <c r="B60" s="86">
        <v>8</v>
      </c>
      <c r="C60" s="85" t="s">
        <v>112</v>
      </c>
      <c r="D60" s="200">
        <v>0.85</v>
      </c>
      <c r="E60" s="200">
        <v>0.97</v>
      </c>
      <c r="F60" s="200">
        <v>0.9</v>
      </c>
      <c r="G60" s="200">
        <v>1.02</v>
      </c>
      <c r="H60" s="88">
        <v>1</v>
      </c>
      <c r="I60" s="89"/>
      <c r="J60" s="93"/>
      <c r="K60" s="93"/>
      <c r="L60" s="93"/>
      <c r="M60" s="93"/>
      <c r="N60" s="91"/>
      <c r="O60" s="149"/>
      <c r="P60" s="93"/>
      <c r="Q60" s="93"/>
      <c r="R60" s="93"/>
      <c r="S60" s="94"/>
      <c r="T60" s="95"/>
      <c r="U60" s="93"/>
      <c r="V60" s="93"/>
      <c r="W60" s="93"/>
      <c r="X60" s="96">
        <f t="shared" si="1"/>
        <v>0</v>
      </c>
      <c r="Y60" s="97"/>
      <c r="Z60" s="98" t="s">
        <v>103</v>
      </c>
      <c r="AA60" s="207"/>
      <c r="AB60" s="131">
        <f>G59-F59</f>
        <v>0.10000000000000009</v>
      </c>
      <c r="AC60" s="169">
        <f>+G59</f>
        <v>1.05</v>
      </c>
      <c r="AD60" s="145" t="s">
        <v>54</v>
      </c>
      <c r="AE60" s="208"/>
      <c r="AF60" s="208"/>
      <c r="AG60" s="209">
        <f>SUMIF(A298:A303,"สมุทรสาคร",X298:X303)</f>
        <v>0</v>
      </c>
      <c r="AH60" s="210" t="s">
        <v>55</v>
      </c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</row>
    <row r="61" spans="1:29" s="99" customFormat="1" ht="27.75" customHeight="1">
      <c r="A61" s="85"/>
      <c r="B61" s="86"/>
      <c r="C61" s="212"/>
      <c r="D61" s="87"/>
      <c r="E61" s="87"/>
      <c r="F61" s="87"/>
      <c r="G61" s="87"/>
      <c r="H61" s="88"/>
      <c r="I61" s="89"/>
      <c r="J61" s="93"/>
      <c r="K61" s="93"/>
      <c r="L61" s="93"/>
      <c r="M61" s="93"/>
      <c r="N61" s="91"/>
      <c r="O61" s="149"/>
      <c r="P61" s="93"/>
      <c r="Q61" s="93"/>
      <c r="R61" s="93"/>
      <c r="S61" s="94"/>
      <c r="T61" s="95"/>
      <c r="U61" s="93"/>
      <c r="V61" s="93"/>
      <c r="W61" s="93"/>
      <c r="X61" s="96"/>
      <c r="Y61" s="97"/>
      <c r="Z61" s="98" t="s">
        <v>103</v>
      </c>
      <c r="AB61" s="131">
        <f>G60-F60</f>
        <v>0.12</v>
      </c>
      <c r="AC61" s="169">
        <f>+G60</f>
        <v>1.02</v>
      </c>
    </row>
    <row r="62" spans="1:26" s="99" customFormat="1" ht="27.75" customHeight="1">
      <c r="A62" s="572" t="s">
        <v>113</v>
      </c>
      <c r="B62" s="573"/>
      <c r="C62" s="173"/>
      <c r="D62" s="174"/>
      <c r="E62" s="174"/>
      <c r="F62" s="174"/>
      <c r="G62" s="174"/>
      <c r="H62" s="175"/>
      <c r="I62" s="176"/>
      <c r="J62" s="176"/>
      <c r="K62" s="176"/>
      <c r="L62" s="177"/>
      <c r="M62" s="178">
        <f>SUM(M63:M79)</f>
        <v>-0.461052</v>
      </c>
      <c r="N62" s="176"/>
      <c r="O62" s="179">
        <f>SUM(O63:O79)</f>
        <v>40</v>
      </c>
      <c r="P62" s="182">
        <f>SUM(P63:P79)</f>
        <v>0</v>
      </c>
      <c r="Q62" s="213"/>
      <c r="R62" s="178">
        <f>SUM(R63:R79)</f>
        <v>0</v>
      </c>
      <c r="S62" s="176"/>
      <c r="T62" s="179">
        <f>SUM(T63:T79)</f>
        <v>30</v>
      </c>
      <c r="U62" s="182">
        <f>SUM(U63:U79)</f>
        <v>0</v>
      </c>
      <c r="V62" s="214"/>
      <c r="W62" s="178">
        <f>SUM(W63:W79)</f>
        <v>0</v>
      </c>
      <c r="X62" s="178">
        <f>SUM(X63:X79)</f>
        <v>-0.461052</v>
      </c>
      <c r="Y62" s="215"/>
      <c r="Z62" s="98"/>
    </row>
    <row r="63" spans="1:27" s="99" customFormat="1" ht="26.25" customHeight="1">
      <c r="A63" s="85" t="s">
        <v>114</v>
      </c>
      <c r="B63" s="86">
        <v>1</v>
      </c>
      <c r="C63" s="85" t="s">
        <v>115</v>
      </c>
      <c r="D63" s="216">
        <v>0.8</v>
      </c>
      <c r="E63" s="216">
        <v>0.8</v>
      </c>
      <c r="F63" s="216">
        <v>0.8</v>
      </c>
      <c r="G63" s="216">
        <v>0.81</v>
      </c>
      <c r="H63" s="88">
        <v>1</v>
      </c>
      <c r="I63" s="89"/>
      <c r="J63" s="90"/>
      <c r="K63" s="93"/>
      <c r="L63" s="90"/>
      <c r="M63" s="89"/>
      <c r="N63" s="135">
        <v>6</v>
      </c>
      <c r="O63" s="92">
        <v>4</v>
      </c>
      <c r="P63" s="90"/>
      <c r="Q63" s="90"/>
      <c r="R63" s="90"/>
      <c r="S63" s="94">
        <v>3</v>
      </c>
      <c r="T63" s="95">
        <v>4</v>
      </c>
      <c r="U63" s="93"/>
      <c r="V63" s="93"/>
      <c r="W63" s="93"/>
      <c r="X63" s="96">
        <f>+M63+R63+W63</f>
        <v>0</v>
      </c>
      <c r="Y63" s="97"/>
      <c r="Z63" s="184"/>
      <c r="AA63" s="168">
        <f>+M62+R62+W62</f>
        <v>-0.461052</v>
      </c>
    </row>
    <row r="64" spans="1:51" s="211" customFormat="1" ht="27.75" customHeight="1" thickBot="1">
      <c r="A64" s="85" t="s">
        <v>114</v>
      </c>
      <c r="B64" s="86">
        <v>2</v>
      </c>
      <c r="C64" s="85" t="s">
        <v>396</v>
      </c>
      <c r="D64" s="216">
        <v>0</v>
      </c>
      <c r="E64" s="216">
        <v>0</v>
      </c>
      <c r="F64" s="216">
        <v>0</v>
      </c>
      <c r="G64" s="216">
        <v>0</v>
      </c>
      <c r="H64" s="88"/>
      <c r="I64" s="89"/>
      <c r="J64" s="90"/>
      <c r="K64" s="93"/>
      <c r="L64" s="90"/>
      <c r="M64" s="89"/>
      <c r="N64" s="135">
        <v>1</v>
      </c>
      <c r="O64" s="92"/>
      <c r="P64" s="90"/>
      <c r="Q64" s="90"/>
      <c r="R64" s="90"/>
      <c r="S64" s="94"/>
      <c r="T64" s="95"/>
      <c r="U64" s="93"/>
      <c r="V64" s="93"/>
      <c r="W64" s="93"/>
      <c r="X64" s="96">
        <f>M64+R64+W64</f>
        <v>0</v>
      </c>
      <c r="Y64" s="97"/>
      <c r="Z64" s="217" t="s">
        <v>116</v>
      </c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</row>
    <row r="65" spans="1:34" s="99" customFormat="1" ht="27.75" customHeight="1" thickBot="1">
      <c r="A65" s="85" t="s">
        <v>114</v>
      </c>
      <c r="B65" s="86">
        <v>4</v>
      </c>
      <c r="C65" s="85" t="s">
        <v>117</v>
      </c>
      <c r="D65" s="216">
        <v>1.02</v>
      </c>
      <c r="E65" s="216">
        <v>0.76</v>
      </c>
      <c r="F65" s="216">
        <v>1</v>
      </c>
      <c r="G65" s="216">
        <v>0.77</v>
      </c>
      <c r="H65" s="88">
        <v>1</v>
      </c>
      <c r="I65" s="89"/>
      <c r="J65" s="90"/>
      <c r="K65" s="93"/>
      <c r="L65" s="90"/>
      <c r="M65" s="89"/>
      <c r="N65" s="135"/>
      <c r="O65" s="92">
        <v>2</v>
      </c>
      <c r="P65" s="90"/>
      <c r="Q65" s="90"/>
      <c r="R65" s="90"/>
      <c r="S65" s="94">
        <v>3</v>
      </c>
      <c r="T65" s="95">
        <v>3</v>
      </c>
      <c r="U65" s="93"/>
      <c r="V65" s="93"/>
      <c r="W65" s="93"/>
      <c r="X65" s="96">
        <f>+M65+R65+W65</f>
        <v>0</v>
      </c>
      <c r="Y65" s="97"/>
      <c r="Z65" s="98" t="s">
        <v>116</v>
      </c>
      <c r="AD65" s="588" t="s">
        <v>118</v>
      </c>
      <c r="AE65" s="589"/>
      <c r="AF65" s="589"/>
      <c r="AG65" s="589"/>
      <c r="AH65" s="590"/>
    </row>
    <row r="66" spans="1:34" s="99" customFormat="1" ht="27.75" customHeight="1">
      <c r="A66" s="85" t="s">
        <v>114</v>
      </c>
      <c r="B66" s="86">
        <v>5</v>
      </c>
      <c r="C66" s="85" t="s">
        <v>119</v>
      </c>
      <c r="D66" s="216">
        <v>1</v>
      </c>
      <c r="E66" s="216">
        <v>0.74</v>
      </c>
      <c r="F66" s="216">
        <v>1</v>
      </c>
      <c r="G66" s="216">
        <v>0.78</v>
      </c>
      <c r="H66" s="88">
        <v>1</v>
      </c>
      <c r="I66" s="89"/>
      <c r="J66" s="90"/>
      <c r="K66" s="93"/>
      <c r="L66" s="90"/>
      <c r="M66" s="89"/>
      <c r="N66" s="91"/>
      <c r="O66" s="92">
        <v>2</v>
      </c>
      <c r="P66" s="90"/>
      <c r="Q66" s="90"/>
      <c r="R66" s="90"/>
      <c r="S66" s="142">
        <v>3</v>
      </c>
      <c r="T66" s="95">
        <v>3</v>
      </c>
      <c r="U66" s="90"/>
      <c r="V66" s="93"/>
      <c r="W66" s="93"/>
      <c r="X66" s="96">
        <f>+M66+R66+W66</f>
        <v>0</v>
      </c>
      <c r="Y66" s="97"/>
      <c r="Z66" s="98" t="s">
        <v>116</v>
      </c>
      <c r="AD66" s="574" t="s">
        <v>46</v>
      </c>
      <c r="AE66" s="575"/>
      <c r="AF66" s="575"/>
      <c r="AG66" s="575"/>
      <c r="AH66" s="576"/>
    </row>
    <row r="67" spans="1:34" s="99" customFormat="1" ht="27.75" customHeight="1" thickBot="1">
      <c r="A67" s="85" t="s">
        <v>114</v>
      </c>
      <c r="B67" s="86">
        <v>6</v>
      </c>
      <c r="C67" s="85" t="s">
        <v>120</v>
      </c>
      <c r="D67" s="216">
        <v>1</v>
      </c>
      <c r="E67" s="216">
        <v>0.63</v>
      </c>
      <c r="F67" s="216">
        <v>0.98</v>
      </c>
      <c r="G67" s="216">
        <v>0.65</v>
      </c>
      <c r="H67" s="88">
        <v>1</v>
      </c>
      <c r="I67" s="89"/>
      <c r="J67" s="90"/>
      <c r="K67" s="93"/>
      <c r="L67" s="90"/>
      <c r="M67" s="218"/>
      <c r="N67" s="135"/>
      <c r="O67" s="92">
        <v>2</v>
      </c>
      <c r="P67" s="90"/>
      <c r="Q67" s="90"/>
      <c r="R67" s="90"/>
      <c r="S67" s="219"/>
      <c r="T67" s="220"/>
      <c r="U67" s="221"/>
      <c r="V67" s="221"/>
      <c r="W67" s="93"/>
      <c r="X67" s="96">
        <f>+M67+R67+W67</f>
        <v>0</v>
      </c>
      <c r="Y67" s="97"/>
      <c r="Z67" s="98" t="s">
        <v>116</v>
      </c>
      <c r="AD67" s="577" t="s">
        <v>48</v>
      </c>
      <c r="AE67" s="578"/>
      <c r="AF67" s="578"/>
      <c r="AG67" s="154">
        <f>SUM(AG11,AG24,AG37,AG49)</f>
        <v>74</v>
      </c>
      <c r="AH67" s="222" t="s">
        <v>49</v>
      </c>
    </row>
    <row r="68" spans="1:36" s="99" customFormat="1" ht="27.75" customHeight="1" thickBot="1">
      <c r="A68" s="85" t="s">
        <v>114</v>
      </c>
      <c r="B68" s="86">
        <v>7</v>
      </c>
      <c r="C68" s="85" t="s">
        <v>121</v>
      </c>
      <c r="D68" s="216">
        <v>0.99</v>
      </c>
      <c r="E68" s="216">
        <v>0.45</v>
      </c>
      <c r="F68" s="216">
        <v>0.97</v>
      </c>
      <c r="G68" s="216">
        <v>0.5</v>
      </c>
      <c r="H68" s="88">
        <v>1</v>
      </c>
      <c r="I68" s="89"/>
      <c r="J68" s="90"/>
      <c r="K68" s="93"/>
      <c r="L68" s="90"/>
      <c r="M68" s="218"/>
      <c r="N68" s="135">
        <v>1</v>
      </c>
      <c r="O68" s="92">
        <v>2</v>
      </c>
      <c r="P68" s="90"/>
      <c r="Q68" s="90"/>
      <c r="R68" s="90"/>
      <c r="S68" s="94"/>
      <c r="T68" s="95"/>
      <c r="U68" s="93"/>
      <c r="V68" s="93"/>
      <c r="W68" s="206"/>
      <c r="X68" s="96">
        <f aca="true" t="shared" si="2" ref="X68:X78">M68+R68+W68</f>
        <v>0</v>
      </c>
      <c r="Y68" s="97"/>
      <c r="Z68" s="98" t="s">
        <v>116</v>
      </c>
      <c r="AD68" s="223" t="s">
        <v>51</v>
      </c>
      <c r="AE68" s="105"/>
      <c r="AF68" s="105"/>
      <c r="AG68" s="154">
        <f>SUM(AG12,AG25,AG38,AG50)</f>
        <v>132</v>
      </c>
      <c r="AH68" s="100" t="s">
        <v>33</v>
      </c>
      <c r="AI68" s="224">
        <f>SUM(AI12,AI25,AI38,AI50)</f>
        <v>35</v>
      </c>
      <c r="AJ68" s="225" t="s">
        <v>49</v>
      </c>
    </row>
    <row r="69" spans="1:34" s="99" customFormat="1" ht="27.75" customHeight="1">
      <c r="A69" s="85" t="s">
        <v>114</v>
      </c>
      <c r="B69" s="86">
        <v>8</v>
      </c>
      <c r="C69" s="85" t="s">
        <v>122</v>
      </c>
      <c r="D69" s="216">
        <v>0.27</v>
      </c>
      <c r="E69" s="216">
        <v>-0.1</v>
      </c>
      <c r="F69" s="216">
        <v>0.39</v>
      </c>
      <c r="G69" s="216">
        <v>-0.2</v>
      </c>
      <c r="H69" s="88">
        <v>1</v>
      </c>
      <c r="I69" s="89"/>
      <c r="J69" s="90"/>
      <c r="K69" s="93"/>
      <c r="L69" s="90"/>
      <c r="M69" s="218"/>
      <c r="N69" s="135">
        <v>3</v>
      </c>
      <c r="O69" s="92">
        <v>4</v>
      </c>
      <c r="P69" s="90"/>
      <c r="Q69" s="90"/>
      <c r="R69" s="90"/>
      <c r="S69" s="94"/>
      <c r="T69" s="95"/>
      <c r="U69" s="90"/>
      <c r="V69" s="93"/>
      <c r="W69" s="226"/>
      <c r="X69" s="96">
        <f t="shared" si="2"/>
        <v>0</v>
      </c>
      <c r="Y69" s="97"/>
      <c r="Z69" s="98" t="s">
        <v>116</v>
      </c>
      <c r="AD69" s="223" t="s">
        <v>53</v>
      </c>
      <c r="AE69" s="105"/>
      <c r="AF69" s="105"/>
      <c r="AG69" s="154">
        <f>SUM(AG13,AG26,AG39,AG51)</f>
        <v>83</v>
      </c>
      <c r="AH69" s="222" t="s">
        <v>33</v>
      </c>
    </row>
    <row r="70" spans="1:34" s="99" customFormat="1" ht="27.75" customHeight="1">
      <c r="A70" s="85" t="s">
        <v>114</v>
      </c>
      <c r="B70" s="86">
        <v>9</v>
      </c>
      <c r="C70" s="85" t="s">
        <v>123</v>
      </c>
      <c r="D70" s="216">
        <v>0.4</v>
      </c>
      <c r="E70" s="216">
        <v>0.41</v>
      </c>
      <c r="F70" s="216">
        <v>0.4</v>
      </c>
      <c r="G70" s="216">
        <v>0.29</v>
      </c>
      <c r="H70" s="88">
        <v>1</v>
      </c>
      <c r="I70" s="89"/>
      <c r="J70" s="90"/>
      <c r="K70" s="93"/>
      <c r="L70" s="90"/>
      <c r="M70" s="227"/>
      <c r="N70" s="135">
        <v>3</v>
      </c>
      <c r="O70" s="92">
        <v>4</v>
      </c>
      <c r="P70" s="90"/>
      <c r="Q70" s="90"/>
      <c r="R70" s="90"/>
      <c r="S70" s="142">
        <v>3</v>
      </c>
      <c r="T70" s="95">
        <v>4</v>
      </c>
      <c r="U70" s="90"/>
      <c r="V70" s="93"/>
      <c r="W70" s="93"/>
      <c r="X70" s="96">
        <f t="shared" si="2"/>
        <v>0</v>
      </c>
      <c r="Y70" s="97"/>
      <c r="Z70" s="98"/>
      <c r="AD70" s="228" t="s">
        <v>54</v>
      </c>
      <c r="AE70" s="111"/>
      <c r="AF70" s="111"/>
      <c r="AG70" s="112">
        <f>SUM(AG14,AG27,AG40,AG53)</f>
        <v>0</v>
      </c>
      <c r="AH70" s="229" t="s">
        <v>55</v>
      </c>
    </row>
    <row r="71" spans="1:34" s="99" customFormat="1" ht="30.75" thickBot="1">
      <c r="A71" s="85" t="s">
        <v>114</v>
      </c>
      <c r="B71" s="86">
        <v>10</v>
      </c>
      <c r="C71" s="85" t="s">
        <v>125</v>
      </c>
      <c r="D71" s="216">
        <v>0.95</v>
      </c>
      <c r="E71" s="216">
        <v>-0.6</v>
      </c>
      <c r="F71" s="216">
        <v>0.95</v>
      </c>
      <c r="G71" s="216">
        <v>-0.6</v>
      </c>
      <c r="H71" s="88"/>
      <c r="I71" s="89"/>
      <c r="J71" s="90"/>
      <c r="K71" s="93"/>
      <c r="L71" s="90"/>
      <c r="M71" s="218"/>
      <c r="N71" s="135">
        <v>3</v>
      </c>
      <c r="O71" s="92">
        <v>4</v>
      </c>
      <c r="P71" s="90"/>
      <c r="Q71" s="90"/>
      <c r="R71" s="90"/>
      <c r="S71" s="94"/>
      <c r="T71" s="95"/>
      <c r="U71" s="93"/>
      <c r="V71" s="93"/>
      <c r="W71" s="93"/>
      <c r="X71" s="96">
        <f t="shared" si="2"/>
        <v>0</v>
      </c>
      <c r="Y71" s="97"/>
      <c r="Z71" s="98" t="s">
        <v>116</v>
      </c>
      <c r="AD71" s="230"/>
      <c r="AE71" s="231"/>
      <c r="AF71" s="231"/>
      <c r="AG71" s="231"/>
      <c r="AH71" s="232"/>
    </row>
    <row r="72" spans="1:34" s="99" customFormat="1" ht="27.75" customHeight="1">
      <c r="A72" s="85" t="s">
        <v>114</v>
      </c>
      <c r="B72" s="86">
        <v>11</v>
      </c>
      <c r="C72" s="85" t="s">
        <v>126</v>
      </c>
      <c r="D72" s="216">
        <v>0.5</v>
      </c>
      <c r="E72" s="216">
        <v>-0.1</v>
      </c>
      <c r="F72" s="216">
        <v>0.6</v>
      </c>
      <c r="G72" s="216">
        <v>-0.13</v>
      </c>
      <c r="H72" s="88">
        <v>1</v>
      </c>
      <c r="I72" s="89"/>
      <c r="J72" s="90">
        <v>1</v>
      </c>
      <c r="K72" s="93"/>
      <c r="L72" s="90">
        <v>9</v>
      </c>
      <c r="M72" s="218">
        <f>-299052/1000000</f>
        <v>-0.299052</v>
      </c>
      <c r="N72" s="91">
        <v>3</v>
      </c>
      <c r="O72" s="149">
        <v>4</v>
      </c>
      <c r="P72" s="90"/>
      <c r="Q72" s="90"/>
      <c r="R72" s="90"/>
      <c r="S72" s="94"/>
      <c r="T72" s="95"/>
      <c r="U72" s="93"/>
      <c r="V72" s="93"/>
      <c r="W72" s="93"/>
      <c r="X72" s="96">
        <f t="shared" si="2"/>
        <v>-0.299052</v>
      </c>
      <c r="Y72" s="97"/>
      <c r="Z72" s="98" t="s">
        <v>116</v>
      </c>
      <c r="AD72" s="574" t="s">
        <v>60</v>
      </c>
      <c r="AE72" s="575"/>
      <c r="AF72" s="575"/>
      <c r="AG72" s="575"/>
      <c r="AH72" s="576"/>
    </row>
    <row r="73" spans="1:34" s="99" customFormat="1" ht="27.75" customHeight="1" thickBot="1">
      <c r="A73" s="85" t="s">
        <v>114</v>
      </c>
      <c r="B73" s="86">
        <v>12</v>
      </c>
      <c r="C73" s="85" t="s">
        <v>127</v>
      </c>
      <c r="D73" s="216">
        <v>0.4</v>
      </c>
      <c r="E73" s="216">
        <v>0.86</v>
      </c>
      <c r="F73" s="216">
        <v>0.41</v>
      </c>
      <c r="G73" s="216">
        <v>0.78</v>
      </c>
      <c r="H73" s="88">
        <v>2</v>
      </c>
      <c r="I73" s="89"/>
      <c r="J73" s="90"/>
      <c r="K73" s="93"/>
      <c r="L73" s="90"/>
      <c r="M73" s="218"/>
      <c r="N73" s="91">
        <v>6</v>
      </c>
      <c r="O73" s="149">
        <v>6</v>
      </c>
      <c r="P73" s="90"/>
      <c r="Q73" s="90"/>
      <c r="R73" s="90"/>
      <c r="S73" s="94">
        <v>3</v>
      </c>
      <c r="T73" s="95">
        <v>4</v>
      </c>
      <c r="U73" s="93"/>
      <c r="V73" s="93"/>
      <c r="W73" s="93"/>
      <c r="X73" s="96">
        <f t="shared" si="2"/>
        <v>0</v>
      </c>
      <c r="Y73" s="97"/>
      <c r="Z73" s="98" t="s">
        <v>116</v>
      </c>
      <c r="AD73" s="577" t="s">
        <v>48</v>
      </c>
      <c r="AE73" s="578"/>
      <c r="AF73" s="578"/>
      <c r="AG73" s="154">
        <f>SUM(AG17,AG30,AG42)</f>
        <v>37</v>
      </c>
      <c r="AH73" s="222" t="s">
        <v>49</v>
      </c>
    </row>
    <row r="74" spans="1:36" s="99" customFormat="1" ht="27.75" customHeight="1" thickBot="1">
      <c r="A74" s="85" t="s">
        <v>114</v>
      </c>
      <c r="B74" s="86">
        <v>13</v>
      </c>
      <c r="C74" s="85" t="s">
        <v>128</v>
      </c>
      <c r="D74" s="216">
        <v>0.45</v>
      </c>
      <c r="E74" s="216">
        <v>0.95</v>
      </c>
      <c r="F74" s="216">
        <v>0.45</v>
      </c>
      <c r="G74" s="216">
        <v>0.85</v>
      </c>
      <c r="H74" s="88">
        <v>1</v>
      </c>
      <c r="I74" s="89"/>
      <c r="J74" s="90"/>
      <c r="K74" s="93"/>
      <c r="L74" s="90"/>
      <c r="M74" s="218"/>
      <c r="N74" s="91"/>
      <c r="O74" s="149"/>
      <c r="P74" s="90"/>
      <c r="Q74" s="90"/>
      <c r="R74" s="90"/>
      <c r="S74" s="94">
        <v>3</v>
      </c>
      <c r="T74" s="95">
        <v>2</v>
      </c>
      <c r="U74" s="93"/>
      <c r="V74" s="93"/>
      <c r="W74" s="93"/>
      <c r="X74" s="96">
        <f t="shared" si="2"/>
        <v>0</v>
      </c>
      <c r="Y74" s="97"/>
      <c r="Z74" s="98" t="s">
        <v>116</v>
      </c>
      <c r="AA74" s="103"/>
      <c r="AD74" s="223" t="s">
        <v>51</v>
      </c>
      <c r="AE74" s="105"/>
      <c r="AF74" s="105"/>
      <c r="AG74" s="154">
        <f>SUM(AG18,AG31,AG43)</f>
        <v>57</v>
      </c>
      <c r="AH74" s="100" t="s">
        <v>33</v>
      </c>
      <c r="AI74" s="233">
        <f>SUM(AI18,AI31,AI43)</f>
        <v>49</v>
      </c>
      <c r="AJ74" s="225" t="s">
        <v>49</v>
      </c>
    </row>
    <row r="75" spans="1:34" s="99" customFormat="1" ht="27.75" customHeight="1">
      <c r="A75" s="85" t="s">
        <v>114</v>
      </c>
      <c r="B75" s="86">
        <v>14</v>
      </c>
      <c r="C75" s="85" t="s">
        <v>129</v>
      </c>
      <c r="D75" s="216">
        <v>0.46</v>
      </c>
      <c r="E75" s="216">
        <v>1</v>
      </c>
      <c r="F75" s="216">
        <v>0.46</v>
      </c>
      <c r="G75" s="216">
        <v>0.9</v>
      </c>
      <c r="H75" s="88">
        <v>1</v>
      </c>
      <c r="I75" s="89"/>
      <c r="J75" s="90"/>
      <c r="K75" s="93"/>
      <c r="L75" s="90"/>
      <c r="M75" s="218"/>
      <c r="N75" s="91"/>
      <c r="O75" s="149"/>
      <c r="P75" s="90"/>
      <c r="Q75" s="90"/>
      <c r="R75" s="90"/>
      <c r="S75" s="94">
        <v>3</v>
      </c>
      <c r="T75" s="95">
        <v>2</v>
      </c>
      <c r="U75" s="93"/>
      <c r="V75" s="93"/>
      <c r="W75" s="93"/>
      <c r="X75" s="96">
        <f t="shared" si="2"/>
        <v>0</v>
      </c>
      <c r="Y75" s="97"/>
      <c r="Z75" s="98" t="s">
        <v>116</v>
      </c>
      <c r="AB75" s="103"/>
      <c r="AD75" s="223" t="s">
        <v>53</v>
      </c>
      <c r="AE75" s="105"/>
      <c r="AF75" s="105"/>
      <c r="AG75" s="154">
        <f>SUM(AG19,AG32,AG44)</f>
        <v>29</v>
      </c>
      <c r="AH75" s="222" t="s">
        <v>33</v>
      </c>
    </row>
    <row r="76" spans="1:51" s="99" customFormat="1" ht="27.75" customHeight="1" thickBot="1">
      <c r="A76" s="85" t="s">
        <v>114</v>
      </c>
      <c r="B76" s="86">
        <v>15</v>
      </c>
      <c r="C76" s="85" t="s">
        <v>130</v>
      </c>
      <c r="D76" s="216">
        <v>0.28</v>
      </c>
      <c r="E76" s="216">
        <v>1.3</v>
      </c>
      <c r="F76" s="216">
        <v>0.28</v>
      </c>
      <c r="G76" s="216">
        <v>1.25</v>
      </c>
      <c r="H76" s="88">
        <v>1</v>
      </c>
      <c r="I76" s="89"/>
      <c r="J76" s="90"/>
      <c r="K76" s="93"/>
      <c r="L76" s="90"/>
      <c r="M76" s="218"/>
      <c r="N76" s="135"/>
      <c r="O76" s="92"/>
      <c r="P76" s="90"/>
      <c r="Q76" s="90"/>
      <c r="R76" s="90"/>
      <c r="S76" s="94">
        <v>3</v>
      </c>
      <c r="T76" s="95">
        <v>2</v>
      </c>
      <c r="U76" s="93"/>
      <c r="V76" s="93"/>
      <c r="W76" s="93"/>
      <c r="X76" s="96">
        <f t="shared" si="2"/>
        <v>0</v>
      </c>
      <c r="Y76" s="97"/>
      <c r="Z76" s="98" t="s">
        <v>116</v>
      </c>
      <c r="AA76" s="207"/>
      <c r="AB76" s="211"/>
      <c r="AC76" s="211"/>
      <c r="AD76" s="145" t="s">
        <v>54</v>
      </c>
      <c r="AE76" s="208"/>
      <c r="AF76" s="208"/>
      <c r="AG76" s="209">
        <f>SUM(AG20,AG33,AG45)</f>
        <v>0.718848</v>
      </c>
      <c r="AH76" s="210" t="s">
        <v>55</v>
      </c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</row>
    <row r="77" spans="1:34" s="99" customFormat="1" ht="27.75" customHeight="1" thickBot="1">
      <c r="A77" s="85" t="s">
        <v>114</v>
      </c>
      <c r="B77" s="86">
        <v>16</v>
      </c>
      <c r="C77" s="85" t="s">
        <v>131</v>
      </c>
      <c r="D77" s="216">
        <v>0.2</v>
      </c>
      <c r="E77" s="216">
        <v>1.06</v>
      </c>
      <c r="F77" s="216">
        <v>0.25</v>
      </c>
      <c r="G77" s="216">
        <v>0.86</v>
      </c>
      <c r="H77" s="88">
        <v>1</v>
      </c>
      <c r="I77" s="89"/>
      <c r="J77" s="89"/>
      <c r="K77" s="93"/>
      <c r="L77" s="90"/>
      <c r="M77" s="89"/>
      <c r="N77" s="135"/>
      <c r="O77" s="92"/>
      <c r="P77" s="90"/>
      <c r="Q77" s="90"/>
      <c r="R77" s="90"/>
      <c r="S77" s="94">
        <v>3</v>
      </c>
      <c r="T77" s="95">
        <v>2</v>
      </c>
      <c r="U77" s="93"/>
      <c r="V77" s="93"/>
      <c r="W77" s="93"/>
      <c r="X77" s="96">
        <f t="shared" si="2"/>
        <v>0</v>
      </c>
      <c r="Y77" s="97"/>
      <c r="Z77" s="98"/>
      <c r="AD77" s="234"/>
      <c r="AE77" s="235"/>
      <c r="AF77" s="235"/>
      <c r="AG77" s="235"/>
      <c r="AH77" s="236"/>
    </row>
    <row r="78" spans="1:34" s="99" customFormat="1" ht="27.75" customHeight="1">
      <c r="A78" s="85" t="s">
        <v>114</v>
      </c>
      <c r="B78" s="86">
        <v>17</v>
      </c>
      <c r="C78" s="85" t="s">
        <v>132</v>
      </c>
      <c r="D78" s="216">
        <v>0.3</v>
      </c>
      <c r="E78" s="216">
        <v>1.01</v>
      </c>
      <c r="F78" s="216">
        <v>0.31</v>
      </c>
      <c r="G78" s="216">
        <v>0.81</v>
      </c>
      <c r="H78" s="88">
        <v>1</v>
      </c>
      <c r="I78" s="89"/>
      <c r="J78" s="89">
        <v>1</v>
      </c>
      <c r="K78" s="93"/>
      <c r="L78" s="90">
        <v>6</v>
      </c>
      <c r="M78" s="89">
        <f>-162000/1000000</f>
        <v>-0.162</v>
      </c>
      <c r="N78" s="135">
        <v>3</v>
      </c>
      <c r="O78" s="92">
        <v>4</v>
      </c>
      <c r="P78" s="90"/>
      <c r="Q78" s="90"/>
      <c r="R78" s="90"/>
      <c r="S78" s="94">
        <v>3</v>
      </c>
      <c r="T78" s="95">
        <v>4</v>
      </c>
      <c r="U78" s="93"/>
      <c r="V78" s="93"/>
      <c r="W78" s="93"/>
      <c r="X78" s="96">
        <f t="shared" si="2"/>
        <v>-0.162</v>
      </c>
      <c r="Y78" s="97"/>
      <c r="Z78" s="98"/>
      <c r="AD78" s="574" t="s">
        <v>108</v>
      </c>
      <c r="AE78" s="575"/>
      <c r="AF78" s="575"/>
      <c r="AG78" s="237"/>
      <c r="AH78" s="238"/>
    </row>
    <row r="79" spans="1:34" s="99" customFormat="1" ht="27.75" customHeight="1" thickBot="1">
      <c r="A79" s="85" t="s">
        <v>114</v>
      </c>
      <c r="B79" s="86">
        <v>18</v>
      </c>
      <c r="C79" s="85" t="s">
        <v>133</v>
      </c>
      <c r="D79" s="216"/>
      <c r="E79" s="216"/>
      <c r="F79" s="216"/>
      <c r="G79" s="216"/>
      <c r="H79" s="88"/>
      <c r="I79" s="89"/>
      <c r="J79" s="93"/>
      <c r="K79" s="93"/>
      <c r="L79" s="93"/>
      <c r="M79" s="89"/>
      <c r="N79" s="135">
        <v>1</v>
      </c>
      <c r="O79" s="92">
        <v>2</v>
      </c>
      <c r="P79" s="90"/>
      <c r="Q79" s="90"/>
      <c r="R79" s="90"/>
      <c r="S79" s="94"/>
      <c r="T79" s="95"/>
      <c r="U79" s="93"/>
      <c r="V79" s="93"/>
      <c r="W79" s="93"/>
      <c r="X79" s="96">
        <f>W79+M79+R79</f>
        <v>0</v>
      </c>
      <c r="Y79" s="97"/>
      <c r="Z79" s="98"/>
      <c r="AD79" s="577" t="s">
        <v>48</v>
      </c>
      <c r="AE79" s="578"/>
      <c r="AF79" s="578"/>
      <c r="AG79" s="154">
        <f>AG57</f>
        <v>6</v>
      </c>
      <c r="AH79" s="222" t="s">
        <v>49</v>
      </c>
    </row>
    <row r="80" spans="1:36" s="99" customFormat="1" ht="27.75" customHeight="1" thickBot="1">
      <c r="A80" s="572" t="s">
        <v>134</v>
      </c>
      <c r="B80" s="573"/>
      <c r="C80" s="173"/>
      <c r="D80" s="174"/>
      <c r="E80" s="174"/>
      <c r="F80" s="174"/>
      <c r="G80" s="174"/>
      <c r="H80" s="175"/>
      <c r="I80" s="176"/>
      <c r="J80" s="176"/>
      <c r="K80" s="176"/>
      <c r="L80" s="177"/>
      <c r="M80" s="178">
        <f>SUM(M81:M96)</f>
        <v>2.1487516542843</v>
      </c>
      <c r="N80" s="176"/>
      <c r="O80" s="179">
        <f>SUM(O81:O96)</f>
        <v>46</v>
      </c>
      <c r="P80" s="180">
        <f>SUM(P81:P96)</f>
        <v>20</v>
      </c>
      <c r="Q80" s="181"/>
      <c r="R80" s="178">
        <f>SUM(R81:R96)</f>
        <v>7.6895999999999995</v>
      </c>
      <c r="S80" s="176"/>
      <c r="T80" s="179">
        <f>SUM(T81:T96)</f>
        <v>17</v>
      </c>
      <c r="U80" s="182">
        <f>SUM(U81:U96)</f>
        <v>0</v>
      </c>
      <c r="V80" s="181"/>
      <c r="W80" s="178">
        <f>SUM(W81:W96)</f>
        <v>0</v>
      </c>
      <c r="X80" s="178">
        <f>SUM(X81:X96)</f>
        <v>9.838351654284299</v>
      </c>
      <c r="Y80" s="215"/>
      <c r="Z80" s="98" t="s">
        <v>116</v>
      </c>
      <c r="AD80" s="223" t="s">
        <v>51</v>
      </c>
      <c r="AE80" s="105"/>
      <c r="AF80" s="105"/>
      <c r="AG80" s="154">
        <f>AG58</f>
        <v>0</v>
      </c>
      <c r="AH80" s="100" t="s">
        <v>33</v>
      </c>
      <c r="AI80" s="233">
        <f>AG58</f>
        <v>0</v>
      </c>
      <c r="AJ80" s="225" t="s">
        <v>49</v>
      </c>
    </row>
    <row r="81" spans="1:34" s="99" customFormat="1" ht="31.5" customHeight="1">
      <c r="A81" s="114" t="s">
        <v>135</v>
      </c>
      <c r="B81" s="115">
        <v>1</v>
      </c>
      <c r="C81" s="114" t="s">
        <v>136</v>
      </c>
      <c r="D81" s="239">
        <v>-0.2</v>
      </c>
      <c r="E81" s="239">
        <v>-0.1</v>
      </c>
      <c r="F81" s="239">
        <v>-0.2</v>
      </c>
      <c r="G81" s="239">
        <v>-0.1</v>
      </c>
      <c r="H81" s="88">
        <v>1</v>
      </c>
      <c r="I81" s="89"/>
      <c r="J81" s="89"/>
      <c r="K81" s="117"/>
      <c r="L81" s="89"/>
      <c r="M81" s="89"/>
      <c r="N81" s="135"/>
      <c r="O81" s="92"/>
      <c r="P81" s="89"/>
      <c r="Q81" s="117"/>
      <c r="R81" s="89"/>
      <c r="S81" s="142"/>
      <c r="T81" s="95"/>
      <c r="U81" s="89"/>
      <c r="V81" s="117"/>
      <c r="W81" s="89"/>
      <c r="X81" s="96">
        <f>M81+R81+W81</f>
        <v>0</v>
      </c>
      <c r="Y81" s="124"/>
      <c r="Z81" s="184"/>
      <c r="AA81" s="103">
        <f>+M80+R80+W80</f>
        <v>9.838351654284299</v>
      </c>
      <c r="AD81" s="223" t="s">
        <v>53</v>
      </c>
      <c r="AE81" s="105"/>
      <c r="AF81" s="105"/>
      <c r="AG81" s="154">
        <f>AG59</f>
        <v>0</v>
      </c>
      <c r="AH81" s="222" t="s">
        <v>33</v>
      </c>
    </row>
    <row r="82" spans="1:34" s="126" customFormat="1" ht="27.75" customHeight="1">
      <c r="A82" s="114" t="s">
        <v>135</v>
      </c>
      <c r="B82" s="115">
        <v>2</v>
      </c>
      <c r="C82" s="114" t="s">
        <v>137</v>
      </c>
      <c r="D82" s="239">
        <v>-0.05</v>
      </c>
      <c r="E82" s="239">
        <v>0.8</v>
      </c>
      <c r="F82" s="239">
        <v>-0.04</v>
      </c>
      <c r="G82" s="239">
        <v>0.85</v>
      </c>
      <c r="H82" s="88">
        <v>6</v>
      </c>
      <c r="I82" s="89"/>
      <c r="J82" s="89">
        <v>4</v>
      </c>
      <c r="K82" s="117" t="s">
        <v>58</v>
      </c>
      <c r="L82" s="89">
        <v>5</v>
      </c>
      <c r="M82" s="538">
        <f>2148751.6542843/1000000</f>
        <v>2.1487516542843</v>
      </c>
      <c r="N82" s="135">
        <v>2.448</v>
      </c>
      <c r="O82" s="92"/>
      <c r="P82" s="89"/>
      <c r="Q82" s="89"/>
      <c r="R82" s="89"/>
      <c r="S82" s="94">
        <v>3</v>
      </c>
      <c r="T82" s="95">
        <v>6</v>
      </c>
      <c r="U82" s="117"/>
      <c r="V82" s="117"/>
      <c r="W82" s="117"/>
      <c r="X82" s="96">
        <f aca="true" t="shared" si="3" ref="X82:X96">M82+R82+W82</f>
        <v>2.1487516542843</v>
      </c>
      <c r="Y82" s="124"/>
      <c r="Z82" s="125" t="s">
        <v>138</v>
      </c>
      <c r="AD82" s="240" t="s">
        <v>54</v>
      </c>
      <c r="AE82" s="241"/>
      <c r="AF82" s="241"/>
      <c r="AG82" s="242">
        <f>AG60</f>
        <v>0</v>
      </c>
      <c r="AH82" s="243" t="s">
        <v>55</v>
      </c>
    </row>
    <row r="83" spans="1:51" s="250" customFormat="1" ht="27.75" customHeight="1" thickBot="1">
      <c r="A83" s="114" t="s">
        <v>135</v>
      </c>
      <c r="B83" s="115">
        <v>3</v>
      </c>
      <c r="C83" s="114" t="s">
        <v>139</v>
      </c>
      <c r="D83" s="239">
        <v>-0.05</v>
      </c>
      <c r="E83" s="239">
        <v>0.8</v>
      </c>
      <c r="F83" s="239">
        <v>-0.04</v>
      </c>
      <c r="G83" s="239">
        <v>0.85</v>
      </c>
      <c r="H83" s="244"/>
      <c r="I83" s="244"/>
      <c r="J83" s="536"/>
      <c r="K83" s="244"/>
      <c r="L83" s="244"/>
      <c r="M83" s="244"/>
      <c r="N83" s="245"/>
      <c r="O83" s="245"/>
      <c r="P83" s="89"/>
      <c r="Q83" s="89"/>
      <c r="R83" s="89"/>
      <c r="S83" s="244"/>
      <c r="T83" s="244"/>
      <c r="U83" s="244"/>
      <c r="V83" s="244"/>
      <c r="W83" s="244"/>
      <c r="X83" s="114"/>
      <c r="Y83" s="244"/>
      <c r="Z83" s="246" t="s">
        <v>138</v>
      </c>
      <c r="AA83" s="126"/>
      <c r="AB83" s="126"/>
      <c r="AC83" s="126"/>
      <c r="AD83" s="247"/>
      <c r="AE83" s="248"/>
      <c r="AF83" s="248"/>
      <c r="AG83" s="248"/>
      <c r="AH83" s="249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</row>
    <row r="84" spans="1:34" s="126" customFormat="1" ht="27.75" customHeight="1" thickBot="1">
      <c r="A84" s="114" t="s">
        <v>135</v>
      </c>
      <c r="B84" s="115">
        <v>4</v>
      </c>
      <c r="C84" s="114" t="s">
        <v>140</v>
      </c>
      <c r="D84" s="239">
        <v>-0.05</v>
      </c>
      <c r="E84" s="239">
        <v>0.8</v>
      </c>
      <c r="F84" s="239">
        <v>-0.04</v>
      </c>
      <c r="G84" s="239">
        <v>0.85</v>
      </c>
      <c r="H84" s="88"/>
      <c r="I84" s="89"/>
      <c r="J84" s="117"/>
      <c r="K84" s="117"/>
      <c r="L84" s="117"/>
      <c r="M84" s="117"/>
      <c r="N84" s="135">
        <v>3</v>
      </c>
      <c r="O84" s="92">
        <v>20</v>
      </c>
      <c r="P84" s="89">
        <v>12</v>
      </c>
      <c r="Q84" s="89">
        <v>16</v>
      </c>
      <c r="R84" s="89">
        <f>2073600/1000000</f>
        <v>2.0736</v>
      </c>
      <c r="S84" s="142">
        <v>16</v>
      </c>
      <c r="T84" s="95"/>
      <c r="U84" s="89"/>
      <c r="V84" s="117"/>
      <c r="W84" s="89"/>
      <c r="X84" s="96">
        <f t="shared" si="3"/>
        <v>2.0736</v>
      </c>
      <c r="Y84" s="124"/>
      <c r="Z84" s="114" t="s">
        <v>141</v>
      </c>
      <c r="AD84" s="579" t="s">
        <v>142</v>
      </c>
      <c r="AE84" s="580"/>
      <c r="AF84" s="580"/>
      <c r="AG84" s="251">
        <f>AG70</f>
        <v>0</v>
      </c>
      <c r="AH84" s="243" t="s">
        <v>55</v>
      </c>
    </row>
    <row r="85" spans="1:48" s="126" customFormat="1" ht="27.75" customHeight="1" thickBot="1">
      <c r="A85" s="114" t="s">
        <v>135</v>
      </c>
      <c r="B85" s="115">
        <v>5</v>
      </c>
      <c r="C85" s="114" t="s">
        <v>143</v>
      </c>
      <c r="D85" s="239">
        <v>-0.09</v>
      </c>
      <c r="E85" s="239">
        <v>0.78</v>
      </c>
      <c r="F85" s="239">
        <v>-0.07</v>
      </c>
      <c r="G85" s="239">
        <v>0.81</v>
      </c>
      <c r="H85" s="88">
        <v>0.87</v>
      </c>
      <c r="I85" s="89"/>
      <c r="J85" s="117"/>
      <c r="K85" s="117"/>
      <c r="L85" s="117"/>
      <c r="M85" s="117"/>
      <c r="N85" s="135">
        <v>3</v>
      </c>
      <c r="O85" s="92">
        <v>1</v>
      </c>
      <c r="P85" s="89">
        <v>2</v>
      </c>
      <c r="Q85" s="89">
        <v>12</v>
      </c>
      <c r="R85" s="89">
        <f>259200/1000000</f>
        <v>0.2592</v>
      </c>
      <c r="S85" s="142">
        <v>12</v>
      </c>
      <c r="T85" s="95"/>
      <c r="U85" s="89"/>
      <c r="V85" s="117"/>
      <c r="W85" s="89"/>
      <c r="X85" s="96">
        <f t="shared" si="3"/>
        <v>0.2592</v>
      </c>
      <c r="Y85" s="124"/>
      <c r="Z85" s="125" t="s">
        <v>138</v>
      </c>
      <c r="AD85" s="579" t="s">
        <v>144</v>
      </c>
      <c r="AE85" s="580"/>
      <c r="AF85" s="580"/>
      <c r="AG85" s="252">
        <f>AG76</f>
        <v>0.718848</v>
      </c>
      <c r="AH85" s="253" t="s">
        <v>55</v>
      </c>
      <c r="AV85" s="254"/>
    </row>
    <row r="86" spans="1:34" s="126" customFormat="1" ht="24" customHeight="1" thickBot="1">
      <c r="A86" s="114" t="s">
        <v>135</v>
      </c>
      <c r="B86" s="115">
        <v>6</v>
      </c>
      <c r="C86" s="114" t="s">
        <v>145</v>
      </c>
      <c r="D86" s="239">
        <v>-0.13</v>
      </c>
      <c r="E86" s="239">
        <v>0</v>
      </c>
      <c r="F86" s="239">
        <v>-0.11</v>
      </c>
      <c r="G86" s="239">
        <v>0</v>
      </c>
      <c r="H86" s="88"/>
      <c r="I86" s="89"/>
      <c r="J86" s="117"/>
      <c r="K86" s="117"/>
      <c r="L86" s="117"/>
      <c r="M86" s="117"/>
      <c r="N86" s="135">
        <v>15</v>
      </c>
      <c r="O86" s="92">
        <v>1</v>
      </c>
      <c r="P86" s="89"/>
      <c r="Q86" s="89"/>
      <c r="R86" s="89"/>
      <c r="S86" s="142" t="s">
        <v>146</v>
      </c>
      <c r="T86" s="95"/>
      <c r="U86" s="89"/>
      <c r="V86" s="117"/>
      <c r="W86" s="89"/>
      <c r="X86" s="96">
        <f t="shared" si="3"/>
        <v>0</v>
      </c>
      <c r="Y86" s="124"/>
      <c r="Z86" s="125" t="s">
        <v>138</v>
      </c>
      <c r="AD86" s="581" t="s">
        <v>147</v>
      </c>
      <c r="AE86" s="582"/>
      <c r="AF86" s="582"/>
      <c r="AG86" s="255">
        <f>AG82</f>
        <v>0</v>
      </c>
      <c r="AH86" s="256" t="s">
        <v>55</v>
      </c>
    </row>
    <row r="87" spans="1:34" s="126" customFormat="1" ht="27.75" customHeight="1">
      <c r="A87" s="114" t="s">
        <v>135</v>
      </c>
      <c r="B87" s="115">
        <v>7</v>
      </c>
      <c r="C87" s="114" t="s">
        <v>148</v>
      </c>
      <c r="D87" s="239">
        <v>-0.16</v>
      </c>
      <c r="E87" s="239" t="s">
        <v>146</v>
      </c>
      <c r="F87" s="239">
        <v>-0.14</v>
      </c>
      <c r="G87" s="239" t="s">
        <v>146</v>
      </c>
      <c r="H87" s="88">
        <v>1</v>
      </c>
      <c r="I87" s="89"/>
      <c r="J87" s="117"/>
      <c r="K87" s="117"/>
      <c r="L87" s="117"/>
      <c r="M87" s="117"/>
      <c r="N87" s="135">
        <v>3</v>
      </c>
      <c r="O87" s="92">
        <v>1</v>
      </c>
      <c r="P87" s="89">
        <v>2</v>
      </c>
      <c r="Q87" s="89">
        <v>24</v>
      </c>
      <c r="R87" s="89">
        <f>518400/1000000</f>
        <v>0.5184</v>
      </c>
      <c r="S87" s="142">
        <v>24</v>
      </c>
      <c r="T87" s="95"/>
      <c r="U87" s="89"/>
      <c r="V87" s="117"/>
      <c r="W87" s="89"/>
      <c r="X87" s="96">
        <f t="shared" si="3"/>
        <v>0.5184</v>
      </c>
      <c r="Y87" s="124"/>
      <c r="Z87" s="125" t="s">
        <v>138</v>
      </c>
      <c r="AD87" s="560" t="s">
        <v>149</v>
      </c>
      <c r="AE87" s="561"/>
      <c r="AF87" s="561"/>
      <c r="AG87" s="564">
        <f>AG84+AG85+AG86</f>
        <v>0.718848</v>
      </c>
      <c r="AH87" s="566" t="s">
        <v>150</v>
      </c>
    </row>
    <row r="88" spans="1:34" s="126" customFormat="1" ht="27.75" customHeight="1" thickBot="1">
      <c r="A88" s="114" t="s">
        <v>135</v>
      </c>
      <c r="B88" s="115">
        <v>8</v>
      </c>
      <c r="C88" s="114" t="s">
        <v>151</v>
      </c>
      <c r="D88" s="239">
        <v>-0.18</v>
      </c>
      <c r="E88" s="239">
        <v>1</v>
      </c>
      <c r="F88" s="239">
        <v>-0.18</v>
      </c>
      <c r="G88" s="239">
        <v>1</v>
      </c>
      <c r="H88" s="88"/>
      <c r="I88" s="89"/>
      <c r="J88" s="117"/>
      <c r="K88" s="117"/>
      <c r="L88" s="117"/>
      <c r="M88" s="117"/>
      <c r="N88" s="135">
        <v>3</v>
      </c>
      <c r="O88" s="92">
        <v>1</v>
      </c>
      <c r="P88" s="89">
        <v>2</v>
      </c>
      <c r="Q88" s="89">
        <v>24</v>
      </c>
      <c r="R88" s="89">
        <f>518400/1000000</f>
        <v>0.5184</v>
      </c>
      <c r="S88" s="142">
        <v>24</v>
      </c>
      <c r="T88" s="95"/>
      <c r="U88" s="89"/>
      <c r="V88" s="117"/>
      <c r="W88" s="89"/>
      <c r="X88" s="96">
        <f t="shared" si="3"/>
        <v>0.5184</v>
      </c>
      <c r="Y88" s="124"/>
      <c r="Z88" s="125" t="s">
        <v>138</v>
      </c>
      <c r="AD88" s="562"/>
      <c r="AE88" s="563"/>
      <c r="AF88" s="563"/>
      <c r="AG88" s="565"/>
      <c r="AH88" s="567"/>
    </row>
    <row r="89" spans="1:26" s="126" customFormat="1" ht="27.75" customHeight="1">
      <c r="A89" s="114" t="s">
        <v>135</v>
      </c>
      <c r="B89" s="115">
        <v>9</v>
      </c>
      <c r="C89" s="114" t="s">
        <v>152</v>
      </c>
      <c r="D89" s="239">
        <v>-0.2</v>
      </c>
      <c r="E89" s="257" t="s">
        <v>146</v>
      </c>
      <c r="F89" s="239">
        <v>-0.22</v>
      </c>
      <c r="G89" s="257" t="s">
        <v>146</v>
      </c>
      <c r="H89" s="88"/>
      <c r="I89" s="89"/>
      <c r="J89" s="117"/>
      <c r="K89" s="117"/>
      <c r="L89" s="117"/>
      <c r="M89" s="117"/>
      <c r="N89" s="135">
        <v>3</v>
      </c>
      <c r="O89" s="92">
        <v>6</v>
      </c>
      <c r="P89" s="89"/>
      <c r="Q89" s="89"/>
      <c r="R89" s="89"/>
      <c r="S89" s="142" t="s">
        <v>146</v>
      </c>
      <c r="T89" s="95"/>
      <c r="U89" s="89"/>
      <c r="V89" s="89"/>
      <c r="W89" s="89"/>
      <c r="X89" s="96">
        <f t="shared" si="3"/>
        <v>0</v>
      </c>
      <c r="Y89" s="124"/>
      <c r="Z89" s="125" t="s">
        <v>138</v>
      </c>
    </row>
    <row r="90" spans="1:51" s="126" customFormat="1" ht="27.75" customHeight="1">
      <c r="A90" s="114" t="s">
        <v>135</v>
      </c>
      <c r="B90" s="115">
        <v>10</v>
      </c>
      <c r="C90" s="114" t="s">
        <v>153</v>
      </c>
      <c r="D90" s="258">
        <v>-0.1</v>
      </c>
      <c r="E90" s="258" t="s">
        <v>146</v>
      </c>
      <c r="F90" s="258">
        <v>-0.09</v>
      </c>
      <c r="G90" s="258" t="s">
        <v>146</v>
      </c>
      <c r="H90" s="88"/>
      <c r="I90" s="89"/>
      <c r="J90" s="117"/>
      <c r="K90" s="117"/>
      <c r="L90" s="117"/>
      <c r="M90" s="117"/>
      <c r="N90" s="91">
        <v>25</v>
      </c>
      <c r="O90" s="92">
        <v>4</v>
      </c>
      <c r="P90" s="89">
        <v>2</v>
      </c>
      <c r="Q90" s="89">
        <v>24</v>
      </c>
      <c r="R90" s="89">
        <f>4320000/1000000</f>
        <v>4.32</v>
      </c>
      <c r="S90" s="142">
        <v>24</v>
      </c>
      <c r="T90" s="95"/>
      <c r="U90" s="117"/>
      <c r="V90" s="117"/>
      <c r="W90" s="117"/>
      <c r="X90" s="96">
        <f t="shared" si="3"/>
        <v>4.32</v>
      </c>
      <c r="Y90" s="124"/>
      <c r="Z90" s="125" t="s">
        <v>138</v>
      </c>
      <c r="AA90" s="131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60"/>
      <c r="AX90" s="260"/>
      <c r="AY90" s="260"/>
    </row>
    <row r="91" spans="1:51" s="126" customFormat="1" ht="27.75" customHeight="1">
      <c r="A91" s="85" t="s">
        <v>135</v>
      </c>
      <c r="B91" s="86">
        <v>11</v>
      </c>
      <c r="C91" s="85" t="s">
        <v>154</v>
      </c>
      <c r="D91" s="261"/>
      <c r="E91" s="258"/>
      <c r="F91" s="261"/>
      <c r="G91" s="258"/>
      <c r="H91" s="88"/>
      <c r="I91" s="89"/>
      <c r="J91" s="93"/>
      <c r="K91" s="93"/>
      <c r="L91" s="93"/>
      <c r="M91" s="93"/>
      <c r="N91" s="91"/>
      <c r="O91" s="92" t="s">
        <v>0</v>
      </c>
      <c r="P91" s="90"/>
      <c r="Q91" s="93"/>
      <c r="R91" s="93"/>
      <c r="S91" s="94">
        <v>3</v>
      </c>
      <c r="T91" s="95">
        <v>1</v>
      </c>
      <c r="U91" s="93"/>
      <c r="V91" s="93"/>
      <c r="W91" s="93"/>
      <c r="X91" s="96">
        <f t="shared" si="3"/>
        <v>0</v>
      </c>
      <c r="Y91" s="97"/>
      <c r="Z91" s="125" t="s">
        <v>138</v>
      </c>
      <c r="AA91" s="262"/>
      <c r="AB91" s="262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</row>
    <row r="92" spans="1:51" s="99" customFormat="1" ht="27.75" customHeight="1">
      <c r="A92" s="85" t="s">
        <v>114</v>
      </c>
      <c r="B92" s="86">
        <v>1</v>
      </c>
      <c r="C92" s="85" t="s">
        <v>155</v>
      </c>
      <c r="D92" s="263">
        <v>0.23</v>
      </c>
      <c r="E92" s="263">
        <v>0.56</v>
      </c>
      <c r="F92" s="263">
        <v>0.24</v>
      </c>
      <c r="G92" s="263">
        <v>0.35</v>
      </c>
      <c r="H92" s="88">
        <v>1</v>
      </c>
      <c r="I92" s="89"/>
      <c r="J92" s="93"/>
      <c r="K92" s="93"/>
      <c r="L92" s="93"/>
      <c r="M92" s="93"/>
      <c r="N92" s="135">
        <v>3</v>
      </c>
      <c r="O92" s="92">
        <v>4</v>
      </c>
      <c r="P92" s="90"/>
      <c r="Q92" s="90"/>
      <c r="R92" s="90"/>
      <c r="S92" s="94">
        <v>3</v>
      </c>
      <c r="T92" s="95">
        <v>4</v>
      </c>
      <c r="U92" s="93"/>
      <c r="V92" s="93"/>
      <c r="W92" s="93"/>
      <c r="X92" s="96">
        <f t="shared" si="3"/>
        <v>0</v>
      </c>
      <c r="Y92" s="97"/>
      <c r="Z92" s="98"/>
      <c r="AA92" s="264"/>
      <c r="AB92" s="265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</row>
    <row r="93" spans="1:51" s="99" customFormat="1" ht="27.75" customHeight="1">
      <c r="A93" s="85" t="s">
        <v>114</v>
      </c>
      <c r="B93" s="86">
        <v>2</v>
      </c>
      <c r="C93" s="85" t="s">
        <v>156</v>
      </c>
      <c r="D93" s="263">
        <v>0.18</v>
      </c>
      <c r="E93" s="263">
        <v>0.46</v>
      </c>
      <c r="F93" s="263">
        <v>0.2</v>
      </c>
      <c r="G93" s="263">
        <v>0.26</v>
      </c>
      <c r="H93" s="88">
        <v>1</v>
      </c>
      <c r="I93" s="89"/>
      <c r="J93" s="93"/>
      <c r="K93" s="93"/>
      <c r="L93" s="93"/>
      <c r="M93" s="93"/>
      <c r="N93" s="135">
        <v>3</v>
      </c>
      <c r="O93" s="92">
        <v>4</v>
      </c>
      <c r="P93" s="90"/>
      <c r="Q93" s="89"/>
      <c r="R93" s="89"/>
      <c r="S93" s="94">
        <v>3</v>
      </c>
      <c r="T93" s="95">
        <v>3</v>
      </c>
      <c r="U93" s="93"/>
      <c r="V93" s="93"/>
      <c r="W93" s="93"/>
      <c r="X93" s="96">
        <f t="shared" si="3"/>
        <v>0</v>
      </c>
      <c r="Y93" s="97"/>
      <c r="Z93" s="98" t="s">
        <v>138</v>
      </c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</row>
    <row r="94" spans="1:51" s="99" customFormat="1" ht="27.75" customHeight="1">
      <c r="A94" s="85" t="s">
        <v>114</v>
      </c>
      <c r="B94" s="86">
        <v>3</v>
      </c>
      <c r="C94" s="85" t="s">
        <v>157</v>
      </c>
      <c r="D94" s="263">
        <v>0.09</v>
      </c>
      <c r="E94" s="263">
        <v>0.66</v>
      </c>
      <c r="F94" s="263">
        <v>0.11</v>
      </c>
      <c r="G94" s="263">
        <v>0.45</v>
      </c>
      <c r="H94" s="88">
        <v>1</v>
      </c>
      <c r="I94" s="89"/>
      <c r="J94" s="93"/>
      <c r="K94" s="93"/>
      <c r="L94" s="93"/>
      <c r="M94" s="93"/>
      <c r="N94" s="135">
        <v>3</v>
      </c>
      <c r="O94" s="92">
        <v>4</v>
      </c>
      <c r="P94" s="90"/>
      <c r="Q94" s="89"/>
      <c r="R94" s="89"/>
      <c r="S94" s="94">
        <v>3</v>
      </c>
      <c r="T94" s="95">
        <v>3</v>
      </c>
      <c r="U94" s="93"/>
      <c r="V94" s="93"/>
      <c r="W94" s="93"/>
      <c r="X94" s="96">
        <f t="shared" si="3"/>
        <v>0</v>
      </c>
      <c r="Y94" s="97"/>
      <c r="Z94" s="98" t="s">
        <v>138</v>
      </c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  <c r="AY94" s="264"/>
    </row>
    <row r="95" spans="1:51" s="99" customFormat="1" ht="27.75" customHeight="1">
      <c r="A95" s="85" t="s">
        <v>158</v>
      </c>
      <c r="B95" s="86">
        <v>1</v>
      </c>
      <c r="C95" s="85" t="s">
        <v>159</v>
      </c>
      <c r="D95" s="87"/>
      <c r="E95" s="87"/>
      <c r="F95" s="87"/>
      <c r="G95" s="87"/>
      <c r="H95" s="88">
        <v>1</v>
      </c>
      <c r="I95" s="89"/>
      <c r="J95" s="93"/>
      <c r="K95" s="93"/>
      <c r="L95" s="93"/>
      <c r="M95" s="93"/>
      <c r="N95" s="91"/>
      <c r="O95" s="149"/>
      <c r="P95" s="93"/>
      <c r="Q95" s="93"/>
      <c r="R95" s="93"/>
      <c r="S95" s="142"/>
      <c r="T95" s="95"/>
      <c r="U95" s="90"/>
      <c r="V95" s="93"/>
      <c r="W95" s="90"/>
      <c r="X95" s="96">
        <f t="shared" si="3"/>
        <v>0</v>
      </c>
      <c r="Y95" s="97"/>
      <c r="Z95" s="98" t="s">
        <v>138</v>
      </c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64"/>
      <c r="AV95" s="264"/>
      <c r="AW95" s="264"/>
      <c r="AX95" s="264"/>
      <c r="AY95" s="264"/>
    </row>
    <row r="96" spans="1:51" s="99" customFormat="1" ht="27.75" customHeight="1">
      <c r="A96" s="85" t="s">
        <v>158</v>
      </c>
      <c r="B96" s="86">
        <v>2</v>
      </c>
      <c r="C96" s="85" t="s">
        <v>160</v>
      </c>
      <c r="D96" s="87"/>
      <c r="E96" s="87"/>
      <c r="F96" s="87"/>
      <c r="G96" s="87"/>
      <c r="H96" s="88">
        <v>1</v>
      </c>
      <c r="I96" s="89"/>
      <c r="J96" s="93"/>
      <c r="K96" s="93"/>
      <c r="L96" s="93"/>
      <c r="M96" s="93"/>
      <c r="N96" s="91"/>
      <c r="O96" s="149"/>
      <c r="P96" s="93"/>
      <c r="Q96" s="93"/>
      <c r="R96" s="93"/>
      <c r="S96" s="142"/>
      <c r="T96" s="95"/>
      <c r="U96" s="90"/>
      <c r="V96" s="93"/>
      <c r="W96" s="90"/>
      <c r="X96" s="96">
        <f t="shared" si="3"/>
        <v>0</v>
      </c>
      <c r="Y96" s="97"/>
      <c r="Z96" s="98" t="s">
        <v>138</v>
      </c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</row>
    <row r="97" spans="1:51" s="99" customFormat="1" ht="27.75" customHeight="1">
      <c r="A97" s="568" t="s">
        <v>161</v>
      </c>
      <c r="B97" s="569"/>
      <c r="C97" s="266"/>
      <c r="D97" s="267"/>
      <c r="E97" s="267"/>
      <c r="F97" s="267"/>
      <c r="G97" s="267"/>
      <c r="H97" s="268"/>
      <c r="I97" s="269"/>
      <c r="J97" s="270"/>
      <c r="K97" s="270"/>
      <c r="L97" s="271"/>
      <c r="M97" s="270">
        <f>SUM(M98:M117)</f>
        <v>0</v>
      </c>
      <c r="N97" s="270"/>
      <c r="O97" s="268">
        <f>SUM(O98:O117)</f>
        <v>52</v>
      </c>
      <c r="P97" s="272">
        <f>SUM(P98:P117)</f>
        <v>0</v>
      </c>
      <c r="Q97" s="273"/>
      <c r="R97" s="274">
        <f>SUM(R98:R117)</f>
        <v>0</v>
      </c>
      <c r="S97" s="270"/>
      <c r="T97" s="268">
        <f>SUM(T98:T117)</f>
        <v>39</v>
      </c>
      <c r="U97" s="272">
        <f>SUM(U98:U117)</f>
        <v>0</v>
      </c>
      <c r="V97" s="273"/>
      <c r="W97" s="274">
        <f>SUM(W98:W117)</f>
        <v>0</v>
      </c>
      <c r="X97" s="274">
        <f>SUM(X98:X117)</f>
        <v>0</v>
      </c>
      <c r="Y97" s="215"/>
      <c r="Z97" s="98" t="s">
        <v>138</v>
      </c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</row>
    <row r="98" spans="1:51" s="287" customFormat="1" ht="27" customHeight="1">
      <c r="A98" s="275" t="s">
        <v>56</v>
      </c>
      <c r="B98" s="276"/>
      <c r="C98" s="275" t="s">
        <v>162</v>
      </c>
      <c r="D98" s="277">
        <v>0.9</v>
      </c>
      <c r="E98" s="277">
        <v>0.96</v>
      </c>
      <c r="F98" s="277">
        <v>0.89</v>
      </c>
      <c r="G98" s="277">
        <v>0.95</v>
      </c>
      <c r="H98" s="278"/>
      <c r="I98" s="279"/>
      <c r="J98" s="201"/>
      <c r="K98" s="201" t="s">
        <v>261</v>
      </c>
      <c r="L98" s="201"/>
      <c r="M98" s="201"/>
      <c r="N98" s="280"/>
      <c r="O98" s="281"/>
      <c r="P98" s="201"/>
      <c r="Q98" s="282"/>
      <c r="R98" s="201"/>
      <c r="S98" s="283">
        <v>3</v>
      </c>
      <c r="T98" s="284">
        <v>15</v>
      </c>
      <c r="U98" s="282"/>
      <c r="V98" s="282"/>
      <c r="W98" s="282"/>
      <c r="X98" s="285">
        <f aca="true" t="shared" si="4" ref="X98:X117">M98+R98+W98</f>
        <v>0</v>
      </c>
      <c r="Y98" s="97"/>
      <c r="Z98" s="286"/>
      <c r="AA98" s="103">
        <f>+M97+R97+W97</f>
        <v>0</v>
      </c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</row>
    <row r="99" spans="1:26" s="264" customFormat="1" ht="27.75" customHeight="1">
      <c r="A99" s="275" t="s">
        <v>56</v>
      </c>
      <c r="B99" s="276"/>
      <c r="C99" s="275"/>
      <c r="D99" s="288"/>
      <c r="E99" s="288"/>
      <c r="F99" s="288"/>
      <c r="G99" s="288"/>
      <c r="H99" s="278"/>
      <c r="I99" s="279"/>
      <c r="J99" s="201"/>
      <c r="K99" s="201"/>
      <c r="L99" s="201"/>
      <c r="M99" s="201"/>
      <c r="N99" s="280"/>
      <c r="O99" s="281"/>
      <c r="P99" s="201"/>
      <c r="Q99" s="282"/>
      <c r="R99" s="201"/>
      <c r="S99" s="283"/>
      <c r="T99" s="284"/>
      <c r="U99" s="282"/>
      <c r="V99" s="282"/>
      <c r="W99" s="282"/>
      <c r="X99" s="285">
        <f t="shared" si="4"/>
        <v>0</v>
      </c>
      <c r="Y99" s="97"/>
      <c r="Z99" s="289" t="s">
        <v>163</v>
      </c>
    </row>
    <row r="100" spans="1:51" s="264" customFormat="1" ht="27.75" customHeight="1">
      <c r="A100" s="275" t="s">
        <v>56</v>
      </c>
      <c r="B100" s="276"/>
      <c r="C100" s="275"/>
      <c r="D100" s="288"/>
      <c r="E100" s="288"/>
      <c r="F100" s="288"/>
      <c r="G100" s="288"/>
      <c r="H100" s="290"/>
      <c r="I100" s="279"/>
      <c r="J100" s="291"/>
      <c r="K100" s="291"/>
      <c r="L100" s="292"/>
      <c r="M100" s="201"/>
      <c r="N100" s="280"/>
      <c r="O100" s="293"/>
      <c r="P100" s="201"/>
      <c r="Q100" s="282"/>
      <c r="R100" s="201"/>
      <c r="S100" s="283"/>
      <c r="T100" s="284"/>
      <c r="U100" s="282"/>
      <c r="V100" s="282"/>
      <c r="W100" s="282"/>
      <c r="X100" s="285">
        <f t="shared" si="4"/>
        <v>0</v>
      </c>
      <c r="Y100" s="97"/>
      <c r="Z100" s="289" t="s">
        <v>163</v>
      </c>
      <c r="AA100" s="294"/>
      <c r="AB100" s="295"/>
      <c r="AC100" s="295"/>
      <c r="AD100" s="296"/>
      <c r="AE100" s="296"/>
      <c r="AF100" s="296"/>
      <c r="AG100" s="297"/>
      <c r="AH100" s="296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</row>
    <row r="101" spans="1:51" s="264" customFormat="1" ht="27.75" customHeight="1">
      <c r="A101" s="275" t="s">
        <v>56</v>
      </c>
      <c r="B101" s="276"/>
      <c r="C101" s="275" t="s">
        <v>164</v>
      </c>
      <c r="D101" s="277">
        <v>1.04</v>
      </c>
      <c r="E101" s="277">
        <v>1.04</v>
      </c>
      <c r="F101" s="277">
        <v>1.02</v>
      </c>
      <c r="G101" s="277">
        <v>1.02</v>
      </c>
      <c r="H101" s="298"/>
      <c r="I101" s="279">
        <v>6</v>
      </c>
      <c r="J101" s="277">
        <v>1</v>
      </c>
      <c r="K101" s="299">
        <v>0.1</v>
      </c>
      <c r="L101" s="299">
        <v>24</v>
      </c>
      <c r="M101" s="201"/>
      <c r="N101" s="280">
        <v>3</v>
      </c>
      <c r="O101" s="281">
        <v>8</v>
      </c>
      <c r="P101" s="201"/>
      <c r="Q101" s="201"/>
      <c r="R101" s="201"/>
      <c r="S101" s="283">
        <v>3</v>
      </c>
      <c r="T101" s="284">
        <v>15</v>
      </c>
      <c r="U101" s="282"/>
      <c r="V101" s="282"/>
      <c r="W101" s="282"/>
      <c r="X101" s="285">
        <f t="shared" si="4"/>
        <v>0</v>
      </c>
      <c r="Y101" s="97"/>
      <c r="Z101" s="289" t="s">
        <v>163</v>
      </c>
      <c r="AA101" s="294"/>
      <c r="AB101" s="295"/>
      <c r="AC101" s="295"/>
      <c r="AD101" s="296"/>
      <c r="AE101" s="296"/>
      <c r="AF101" s="296"/>
      <c r="AG101" s="297"/>
      <c r="AH101" s="296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</row>
    <row r="102" spans="1:26" s="264" customFormat="1" ht="27.75" customHeight="1">
      <c r="A102" s="275" t="s">
        <v>56</v>
      </c>
      <c r="B102" s="276"/>
      <c r="C102" s="275" t="s">
        <v>165</v>
      </c>
      <c r="D102" s="277">
        <v>1.36</v>
      </c>
      <c r="E102" s="277">
        <v>1.13</v>
      </c>
      <c r="F102" s="277">
        <v>1.32</v>
      </c>
      <c r="G102" s="277">
        <v>1.09</v>
      </c>
      <c r="H102" s="290"/>
      <c r="I102" s="279"/>
      <c r="J102" s="201"/>
      <c r="K102" s="201"/>
      <c r="L102" s="282"/>
      <c r="M102" s="201"/>
      <c r="N102" s="280"/>
      <c r="O102" s="293"/>
      <c r="P102" s="201"/>
      <c r="Q102" s="282"/>
      <c r="R102" s="201"/>
      <c r="S102" s="283"/>
      <c r="T102" s="284"/>
      <c r="U102" s="201"/>
      <c r="V102" s="282"/>
      <c r="W102" s="300"/>
      <c r="X102" s="285">
        <f t="shared" si="4"/>
        <v>0</v>
      </c>
      <c r="Y102" s="97"/>
      <c r="Z102" s="289" t="s">
        <v>166</v>
      </c>
    </row>
    <row r="103" spans="1:26" s="264" customFormat="1" ht="27.75" customHeight="1">
      <c r="A103" s="275" t="s">
        <v>56</v>
      </c>
      <c r="B103" s="276"/>
      <c r="C103" s="275" t="s">
        <v>167</v>
      </c>
      <c r="D103" s="277"/>
      <c r="E103" s="277"/>
      <c r="F103" s="277"/>
      <c r="G103" s="277"/>
      <c r="H103" s="298"/>
      <c r="I103" s="298"/>
      <c r="J103" s="277"/>
      <c r="K103" s="277"/>
      <c r="L103" s="201"/>
      <c r="M103" s="201"/>
      <c r="N103" s="280"/>
      <c r="O103" s="293"/>
      <c r="P103" s="201"/>
      <c r="Q103" s="282"/>
      <c r="R103" s="201"/>
      <c r="S103" s="283"/>
      <c r="T103" s="284"/>
      <c r="U103" s="201"/>
      <c r="V103" s="282"/>
      <c r="W103" s="201"/>
      <c r="X103" s="285">
        <f t="shared" si="4"/>
        <v>0</v>
      </c>
      <c r="Y103" s="97"/>
      <c r="Z103" s="289"/>
    </row>
    <row r="104" spans="1:26" s="264" customFormat="1" ht="27.75" customHeight="1">
      <c r="A104" s="275" t="s">
        <v>56</v>
      </c>
      <c r="B104" s="276"/>
      <c r="C104" s="275" t="s">
        <v>168</v>
      </c>
      <c r="D104" s="288"/>
      <c r="E104" s="288"/>
      <c r="F104" s="288"/>
      <c r="G104" s="288"/>
      <c r="H104" s="290"/>
      <c r="I104" s="279"/>
      <c r="J104" s="291"/>
      <c r="K104" s="291"/>
      <c r="L104" s="292"/>
      <c r="M104" s="201"/>
      <c r="N104" s="280"/>
      <c r="O104" s="293"/>
      <c r="P104" s="201"/>
      <c r="Q104" s="282"/>
      <c r="R104" s="201"/>
      <c r="S104" s="283"/>
      <c r="T104" s="284"/>
      <c r="U104" s="201"/>
      <c r="V104" s="282"/>
      <c r="W104" s="300"/>
      <c r="X104" s="285">
        <f t="shared" si="4"/>
        <v>0</v>
      </c>
      <c r="Y104" s="97"/>
      <c r="Z104" s="289" t="s">
        <v>169</v>
      </c>
    </row>
    <row r="105" spans="1:26" s="264" customFormat="1" ht="27.75" customHeight="1">
      <c r="A105" s="275" t="s">
        <v>56</v>
      </c>
      <c r="B105" s="276"/>
      <c r="C105" s="275" t="s">
        <v>170</v>
      </c>
      <c r="D105" s="288"/>
      <c r="E105" s="288"/>
      <c r="F105" s="288"/>
      <c r="G105" s="288"/>
      <c r="H105" s="290"/>
      <c r="I105" s="279"/>
      <c r="J105" s="282"/>
      <c r="K105" s="282"/>
      <c r="L105" s="282"/>
      <c r="M105" s="282"/>
      <c r="N105" s="280"/>
      <c r="O105" s="293"/>
      <c r="P105" s="201"/>
      <c r="Q105" s="282"/>
      <c r="R105" s="201"/>
      <c r="S105" s="283"/>
      <c r="T105" s="284"/>
      <c r="U105" s="201"/>
      <c r="V105" s="282"/>
      <c r="W105" s="300"/>
      <c r="X105" s="285">
        <f t="shared" si="4"/>
        <v>0</v>
      </c>
      <c r="Y105" s="97"/>
      <c r="Z105" s="289" t="s">
        <v>169</v>
      </c>
    </row>
    <row r="106" spans="1:26" s="264" customFormat="1" ht="27.75" customHeight="1">
      <c r="A106" s="275" t="s">
        <v>43</v>
      </c>
      <c r="B106" s="276"/>
      <c r="C106" s="275" t="s">
        <v>171</v>
      </c>
      <c r="D106" s="301">
        <v>2.75</v>
      </c>
      <c r="E106" s="301">
        <v>2.75</v>
      </c>
      <c r="F106" s="301">
        <v>2.75</v>
      </c>
      <c r="G106" s="301">
        <v>2.75</v>
      </c>
      <c r="H106" s="278"/>
      <c r="I106" s="279">
        <v>6</v>
      </c>
      <c r="J106" s="201">
        <v>1</v>
      </c>
      <c r="K106" s="201">
        <v>1</v>
      </c>
      <c r="L106" s="201">
        <v>24</v>
      </c>
      <c r="M106" s="201"/>
      <c r="N106" s="302"/>
      <c r="O106" s="281"/>
      <c r="P106" s="291"/>
      <c r="Q106" s="292"/>
      <c r="R106" s="291"/>
      <c r="S106" s="283">
        <v>3</v>
      </c>
      <c r="T106" s="284">
        <v>2</v>
      </c>
      <c r="U106" s="282"/>
      <c r="V106" s="282"/>
      <c r="W106" s="201"/>
      <c r="X106" s="285">
        <f t="shared" si="4"/>
        <v>0</v>
      </c>
      <c r="Y106" s="97"/>
      <c r="Z106" s="289" t="s">
        <v>169</v>
      </c>
    </row>
    <row r="107" spans="1:35" s="99" customFormat="1" ht="27.75" customHeight="1">
      <c r="A107" s="275" t="s">
        <v>43</v>
      </c>
      <c r="B107" s="276"/>
      <c r="C107" s="275" t="s">
        <v>172</v>
      </c>
      <c r="D107" s="301">
        <v>2.42</v>
      </c>
      <c r="E107" s="301">
        <v>1.7</v>
      </c>
      <c r="F107" s="301">
        <v>2.4</v>
      </c>
      <c r="G107" s="301">
        <v>1.78</v>
      </c>
      <c r="H107" s="278"/>
      <c r="I107" s="279">
        <v>6</v>
      </c>
      <c r="J107" s="201"/>
      <c r="K107" s="201"/>
      <c r="L107" s="201"/>
      <c r="M107" s="201"/>
      <c r="N107" s="302"/>
      <c r="O107" s="281"/>
      <c r="P107" s="291"/>
      <c r="Q107" s="292"/>
      <c r="R107" s="291"/>
      <c r="S107" s="283">
        <v>3</v>
      </c>
      <c r="T107" s="284">
        <v>2</v>
      </c>
      <c r="U107" s="282"/>
      <c r="V107" s="282"/>
      <c r="W107" s="282"/>
      <c r="X107" s="285">
        <f>M107+R107+W107</f>
        <v>0</v>
      </c>
      <c r="Y107" s="97"/>
      <c r="Z107" s="98"/>
      <c r="AD107" s="303"/>
      <c r="AE107" s="303"/>
      <c r="AF107" s="303"/>
      <c r="AG107" s="304"/>
      <c r="AH107" s="305"/>
      <c r="AI107" s="165"/>
    </row>
    <row r="108" spans="1:35" s="99" customFormat="1" ht="27.75" customHeight="1">
      <c r="A108" s="275" t="s">
        <v>114</v>
      </c>
      <c r="B108" s="276"/>
      <c r="C108" s="275" t="s">
        <v>173</v>
      </c>
      <c r="D108" s="306"/>
      <c r="E108" s="306"/>
      <c r="F108" s="306"/>
      <c r="G108" s="306"/>
      <c r="H108" s="307"/>
      <c r="I108" s="308"/>
      <c r="J108" s="201"/>
      <c r="K108" s="201"/>
      <c r="L108" s="201"/>
      <c r="M108" s="201"/>
      <c r="N108" s="280"/>
      <c r="O108" s="281"/>
      <c r="P108" s="201"/>
      <c r="Q108" s="201"/>
      <c r="R108" s="201"/>
      <c r="S108" s="283"/>
      <c r="T108" s="284"/>
      <c r="U108" s="201"/>
      <c r="V108" s="201"/>
      <c r="W108" s="201"/>
      <c r="X108" s="285">
        <f t="shared" si="4"/>
        <v>0</v>
      </c>
      <c r="Y108" s="309"/>
      <c r="Z108" s="98"/>
      <c r="AD108" s="303"/>
      <c r="AE108" s="303"/>
      <c r="AF108" s="303"/>
      <c r="AG108" s="304"/>
      <c r="AH108" s="305"/>
      <c r="AI108" s="165"/>
    </row>
    <row r="109" spans="1:51" s="264" customFormat="1" ht="27.75" customHeight="1">
      <c r="A109" s="275" t="s">
        <v>114</v>
      </c>
      <c r="B109" s="276"/>
      <c r="C109" s="275" t="s">
        <v>174</v>
      </c>
      <c r="D109" s="310"/>
      <c r="E109" s="311"/>
      <c r="F109" s="310"/>
      <c r="G109" s="311"/>
      <c r="H109" s="312"/>
      <c r="I109" s="313"/>
      <c r="J109" s="279"/>
      <c r="K109" s="279"/>
      <c r="L109" s="279"/>
      <c r="M109" s="279"/>
      <c r="N109" s="280"/>
      <c r="O109" s="92"/>
      <c r="P109" s="201"/>
      <c r="Q109" s="201"/>
      <c r="R109" s="201"/>
      <c r="S109" s="283"/>
      <c r="T109" s="284"/>
      <c r="U109" s="279"/>
      <c r="V109" s="279"/>
      <c r="W109" s="279"/>
      <c r="X109" s="285">
        <f t="shared" si="4"/>
        <v>0</v>
      </c>
      <c r="Y109" s="309"/>
      <c r="Z109" s="289"/>
      <c r="AA109" s="314"/>
      <c r="AB109" s="103"/>
      <c r="AC109" s="168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</row>
    <row r="110" spans="1:51" s="264" customFormat="1" ht="27.75" customHeight="1">
      <c r="A110" s="275" t="s">
        <v>114</v>
      </c>
      <c r="B110" s="276"/>
      <c r="C110" s="275" t="s">
        <v>175</v>
      </c>
      <c r="D110" s="306"/>
      <c r="E110" s="306"/>
      <c r="F110" s="306"/>
      <c r="G110" s="306"/>
      <c r="H110" s="307"/>
      <c r="I110" s="308"/>
      <c r="J110" s="201"/>
      <c r="K110" s="201"/>
      <c r="L110" s="201"/>
      <c r="M110" s="201"/>
      <c r="N110" s="280">
        <v>3</v>
      </c>
      <c r="O110" s="281">
        <v>2</v>
      </c>
      <c r="P110" s="201"/>
      <c r="Q110" s="201"/>
      <c r="R110" s="201"/>
      <c r="S110" s="283"/>
      <c r="T110" s="284"/>
      <c r="U110" s="201"/>
      <c r="V110" s="201"/>
      <c r="W110" s="201"/>
      <c r="X110" s="285">
        <f t="shared" si="4"/>
        <v>0</v>
      </c>
      <c r="Y110" s="309"/>
      <c r="Z110" s="289"/>
      <c r="AA110" s="314"/>
      <c r="AB110" s="103"/>
      <c r="AC110" s="168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</row>
    <row r="111" spans="1:51" s="264" customFormat="1" ht="27.75" customHeight="1">
      <c r="A111" s="275" t="s">
        <v>114</v>
      </c>
      <c r="B111" s="276"/>
      <c r="C111" s="275" t="s">
        <v>176</v>
      </c>
      <c r="D111" s="306"/>
      <c r="E111" s="306"/>
      <c r="F111" s="306"/>
      <c r="G111" s="306"/>
      <c r="H111" s="307"/>
      <c r="I111" s="308" t="s">
        <v>0</v>
      </c>
      <c r="J111" s="201"/>
      <c r="K111" s="201"/>
      <c r="L111" s="201"/>
      <c r="M111" s="201"/>
      <c r="N111" s="280">
        <v>1</v>
      </c>
      <c r="O111" s="281">
        <v>2</v>
      </c>
      <c r="P111" s="201"/>
      <c r="Q111" s="201"/>
      <c r="R111" s="201"/>
      <c r="S111" s="283"/>
      <c r="T111" s="284"/>
      <c r="U111" s="201"/>
      <c r="V111" s="201"/>
      <c r="W111" s="201"/>
      <c r="X111" s="285">
        <f t="shared" si="4"/>
        <v>0</v>
      </c>
      <c r="Y111" s="309"/>
      <c r="Z111" s="289"/>
      <c r="AA111" s="314"/>
      <c r="AB111" s="103"/>
      <c r="AC111" s="168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</row>
    <row r="112" spans="1:51" s="264" customFormat="1" ht="27.75" customHeight="1">
      <c r="A112" s="275" t="s">
        <v>135</v>
      </c>
      <c r="B112" s="276"/>
      <c r="C112" s="275" t="s">
        <v>177</v>
      </c>
      <c r="D112" s="315">
        <v>0.64</v>
      </c>
      <c r="E112" s="315">
        <v>0.41</v>
      </c>
      <c r="F112" s="315">
        <v>0.59</v>
      </c>
      <c r="G112" s="315">
        <v>0.45</v>
      </c>
      <c r="H112" s="278"/>
      <c r="I112" s="279">
        <v>6</v>
      </c>
      <c r="J112" s="282"/>
      <c r="K112" s="282"/>
      <c r="L112" s="282"/>
      <c r="M112" s="282"/>
      <c r="N112" s="280">
        <v>3</v>
      </c>
      <c r="O112" s="281">
        <v>20</v>
      </c>
      <c r="P112" s="282"/>
      <c r="Q112" s="282"/>
      <c r="R112" s="282"/>
      <c r="S112" s="316"/>
      <c r="T112" s="284"/>
      <c r="U112" s="201"/>
      <c r="V112" s="282"/>
      <c r="W112" s="300"/>
      <c r="X112" s="285">
        <f t="shared" si="4"/>
        <v>0</v>
      </c>
      <c r="Y112" s="97"/>
      <c r="Z112" s="289" t="s">
        <v>178</v>
      </c>
      <c r="AA112" s="314"/>
      <c r="AB112" s="103"/>
      <c r="AC112" s="168">
        <f>+G111</f>
        <v>0</v>
      </c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</row>
    <row r="113" spans="1:51" s="264" customFormat="1" ht="27.75" customHeight="1">
      <c r="A113" s="275" t="s">
        <v>135</v>
      </c>
      <c r="B113" s="276"/>
      <c r="C113" s="275" t="s">
        <v>179</v>
      </c>
      <c r="D113" s="315">
        <v>0.34</v>
      </c>
      <c r="E113" s="315">
        <v>0.29</v>
      </c>
      <c r="F113" s="315">
        <v>0.3</v>
      </c>
      <c r="G113" s="315">
        <v>0.15</v>
      </c>
      <c r="H113" s="290"/>
      <c r="I113" s="279">
        <v>6</v>
      </c>
      <c r="J113" s="282"/>
      <c r="K113" s="282"/>
      <c r="L113" s="282"/>
      <c r="M113" s="282"/>
      <c r="N113" s="280"/>
      <c r="O113" s="281"/>
      <c r="P113" s="201"/>
      <c r="Q113" s="282"/>
      <c r="R113" s="201"/>
      <c r="S113" s="283"/>
      <c r="T113" s="284"/>
      <c r="U113" s="201"/>
      <c r="V113" s="282"/>
      <c r="W113" s="300"/>
      <c r="X113" s="285">
        <f t="shared" si="4"/>
        <v>0</v>
      </c>
      <c r="Y113" s="97"/>
      <c r="Z113" s="289"/>
      <c r="AA113" s="314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</row>
    <row r="114" spans="1:51" s="264" customFormat="1" ht="27.75" customHeight="1">
      <c r="A114" s="275" t="s">
        <v>135</v>
      </c>
      <c r="B114" s="276"/>
      <c r="C114" s="275" t="s">
        <v>180</v>
      </c>
      <c r="D114" s="317">
        <v>0.36</v>
      </c>
      <c r="E114" s="317">
        <v>0.22</v>
      </c>
      <c r="F114" s="317">
        <v>0.34</v>
      </c>
      <c r="G114" s="317">
        <v>0.23</v>
      </c>
      <c r="H114" s="278"/>
      <c r="I114" s="279">
        <v>6</v>
      </c>
      <c r="J114" s="282"/>
      <c r="K114" s="282"/>
      <c r="L114" s="282"/>
      <c r="M114" s="282"/>
      <c r="N114" s="280">
        <v>3</v>
      </c>
      <c r="O114" s="281">
        <v>20</v>
      </c>
      <c r="P114" s="282"/>
      <c r="Q114" s="282"/>
      <c r="R114" s="282"/>
      <c r="S114" s="316"/>
      <c r="T114" s="284"/>
      <c r="U114" s="201"/>
      <c r="V114" s="282"/>
      <c r="W114" s="300"/>
      <c r="X114" s="285">
        <f t="shared" si="4"/>
        <v>0</v>
      </c>
      <c r="Y114" s="97"/>
      <c r="Z114" s="289" t="s">
        <v>181</v>
      </c>
      <c r="AA114" s="314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</row>
    <row r="115" spans="1:51" s="264" customFormat="1" ht="27.75" customHeight="1">
      <c r="A115" s="275" t="s">
        <v>135</v>
      </c>
      <c r="B115" s="276"/>
      <c r="C115" s="275" t="s">
        <v>182</v>
      </c>
      <c r="D115" s="288"/>
      <c r="E115" s="288"/>
      <c r="F115" s="288"/>
      <c r="G115" s="288"/>
      <c r="H115" s="290"/>
      <c r="I115" s="279"/>
      <c r="J115" s="291"/>
      <c r="K115" s="291"/>
      <c r="L115" s="292"/>
      <c r="M115" s="201"/>
      <c r="N115" s="280"/>
      <c r="O115" s="293"/>
      <c r="P115" s="201"/>
      <c r="Q115" s="282"/>
      <c r="R115" s="201"/>
      <c r="S115" s="283">
        <v>3</v>
      </c>
      <c r="T115" s="284">
        <v>2</v>
      </c>
      <c r="U115" s="282"/>
      <c r="V115" s="282"/>
      <c r="W115" s="282"/>
      <c r="X115" s="285">
        <f t="shared" si="4"/>
        <v>0</v>
      </c>
      <c r="Y115" s="97"/>
      <c r="Z115" s="289"/>
      <c r="AA115" s="314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</row>
    <row r="116" spans="1:51" s="264" customFormat="1" ht="27.75" customHeight="1">
      <c r="A116" s="275" t="s">
        <v>135</v>
      </c>
      <c r="B116" s="276"/>
      <c r="C116" s="275" t="s">
        <v>183</v>
      </c>
      <c r="D116" s="288"/>
      <c r="E116" s="288"/>
      <c r="F116" s="288"/>
      <c r="G116" s="288"/>
      <c r="H116" s="290"/>
      <c r="I116" s="279"/>
      <c r="J116" s="291"/>
      <c r="K116" s="291"/>
      <c r="L116" s="292"/>
      <c r="M116" s="201"/>
      <c r="N116" s="280"/>
      <c r="O116" s="293"/>
      <c r="P116" s="201"/>
      <c r="Q116" s="282"/>
      <c r="R116" s="201"/>
      <c r="S116" s="283">
        <v>3</v>
      </c>
      <c r="T116" s="284">
        <v>2</v>
      </c>
      <c r="U116" s="282"/>
      <c r="V116" s="282"/>
      <c r="W116" s="282"/>
      <c r="X116" s="285">
        <f t="shared" si="4"/>
        <v>0</v>
      </c>
      <c r="Y116" s="97"/>
      <c r="Z116" s="289"/>
      <c r="AA116" s="314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</row>
    <row r="117" spans="1:51" s="264" customFormat="1" ht="27.75" customHeight="1">
      <c r="A117" s="275" t="s">
        <v>135</v>
      </c>
      <c r="B117" s="276"/>
      <c r="C117" s="275" t="s">
        <v>184</v>
      </c>
      <c r="D117" s="288"/>
      <c r="E117" s="288"/>
      <c r="F117" s="288"/>
      <c r="G117" s="288"/>
      <c r="H117" s="290"/>
      <c r="I117" s="279"/>
      <c r="J117" s="291"/>
      <c r="K117" s="291"/>
      <c r="L117" s="292"/>
      <c r="M117" s="201"/>
      <c r="N117" s="280"/>
      <c r="O117" s="293"/>
      <c r="P117" s="201"/>
      <c r="Q117" s="282"/>
      <c r="R117" s="201"/>
      <c r="S117" s="283">
        <v>3</v>
      </c>
      <c r="T117" s="284">
        <v>1</v>
      </c>
      <c r="U117" s="282"/>
      <c r="V117" s="282"/>
      <c r="W117" s="282"/>
      <c r="X117" s="285">
        <f t="shared" si="4"/>
        <v>0</v>
      </c>
      <c r="Y117" s="97"/>
      <c r="Z117" s="289" t="s">
        <v>181</v>
      </c>
      <c r="AA117" s="314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</row>
    <row r="118" spans="1:51" s="264" customFormat="1" ht="27.75" customHeight="1">
      <c r="A118" s="318" t="s">
        <v>185</v>
      </c>
      <c r="B118" s="319"/>
      <c r="C118" s="320"/>
      <c r="D118" s="321"/>
      <c r="E118" s="321"/>
      <c r="F118" s="321"/>
      <c r="G118" s="321"/>
      <c r="H118" s="322"/>
      <c r="I118" s="323"/>
      <c r="J118" s="323"/>
      <c r="K118" s="323"/>
      <c r="L118" s="324"/>
      <c r="M118" s="323">
        <f>M119+M215+M297</f>
        <v>0.718848</v>
      </c>
      <c r="N118" s="323"/>
      <c r="O118" s="322">
        <f>O119+O215+O297</f>
        <v>189</v>
      </c>
      <c r="P118" s="325">
        <f>P119+P215</f>
        <v>0</v>
      </c>
      <c r="Q118" s="326"/>
      <c r="R118" s="323">
        <f>R119+R215+R297</f>
        <v>0</v>
      </c>
      <c r="S118" s="323"/>
      <c r="T118" s="322">
        <f>T119+T215+T297</f>
        <v>114</v>
      </c>
      <c r="U118" s="322">
        <f>U119+U215+U297</f>
        <v>0</v>
      </c>
      <c r="V118" s="326"/>
      <c r="W118" s="323">
        <f>W119+W215+W297</f>
        <v>0</v>
      </c>
      <c r="X118" s="323">
        <f>X119+X218+X298</f>
        <v>0</v>
      </c>
      <c r="Y118" s="327"/>
      <c r="Z118" s="328"/>
      <c r="AA118" s="314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</row>
    <row r="119" spans="1:51" s="333" customFormat="1" ht="41.25" customHeight="1">
      <c r="A119" s="572" t="s">
        <v>186</v>
      </c>
      <c r="B119" s="573"/>
      <c r="C119" s="173"/>
      <c r="D119" s="174"/>
      <c r="E119" s="174"/>
      <c r="F119" s="174"/>
      <c r="G119" s="174"/>
      <c r="H119" s="175"/>
      <c r="I119" s="176"/>
      <c r="J119" s="176"/>
      <c r="K119" s="176"/>
      <c r="L119" s="177"/>
      <c r="M119" s="178">
        <f>SUM(M120:M214)</f>
        <v>0</v>
      </c>
      <c r="N119" s="176"/>
      <c r="O119" s="179">
        <f>SUM(O120:O214)</f>
        <v>132</v>
      </c>
      <c r="P119" s="179">
        <f>SUM(P120:P214)</f>
        <v>0</v>
      </c>
      <c r="Q119" s="329"/>
      <c r="R119" s="178">
        <f>SUM(R120:R214)</f>
        <v>0</v>
      </c>
      <c r="S119" s="176"/>
      <c r="T119" s="179">
        <f>SUM(T120:T214)</f>
        <v>83</v>
      </c>
      <c r="U119" s="179">
        <f>SUM(U120:U214)</f>
        <v>0</v>
      </c>
      <c r="V119" s="181"/>
      <c r="W119" s="178">
        <f>SUM(W120:W214)</f>
        <v>0</v>
      </c>
      <c r="X119" s="330">
        <f>M119+R119+W119</f>
        <v>0</v>
      </c>
      <c r="Y119" s="215"/>
      <c r="Z119" s="331"/>
      <c r="AA119" s="332">
        <f>+M118+R118+W118</f>
        <v>0.718848</v>
      </c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</row>
    <row r="120" spans="1:27" s="99" customFormat="1" ht="33" customHeight="1">
      <c r="A120" s="114" t="s">
        <v>187</v>
      </c>
      <c r="B120" s="115">
        <v>1</v>
      </c>
      <c r="C120" s="114" t="s">
        <v>188</v>
      </c>
      <c r="D120" s="334">
        <v>1.96</v>
      </c>
      <c r="E120" s="334">
        <v>1.9</v>
      </c>
      <c r="F120" s="334">
        <v>1.96</v>
      </c>
      <c r="G120" s="334">
        <v>1.8</v>
      </c>
      <c r="H120" s="88">
        <v>1</v>
      </c>
      <c r="I120" s="117">
        <v>1</v>
      </c>
      <c r="J120" s="89"/>
      <c r="K120" s="117"/>
      <c r="L120" s="117"/>
      <c r="M120" s="117"/>
      <c r="N120" s="117">
        <v>3</v>
      </c>
      <c r="O120" s="88">
        <v>8</v>
      </c>
      <c r="P120" s="89"/>
      <c r="Q120" s="89"/>
      <c r="R120" s="89"/>
      <c r="S120" s="335"/>
      <c r="T120" s="88"/>
      <c r="U120" s="117"/>
      <c r="V120" s="117"/>
      <c r="W120" s="117"/>
      <c r="X120" s="336">
        <f>M120+R120+W120</f>
        <v>0</v>
      </c>
      <c r="Y120" s="337"/>
      <c r="Z120" s="184"/>
      <c r="AA120" s="168">
        <f>SUM(X120:X218)</f>
        <v>0.718848</v>
      </c>
    </row>
    <row r="121" spans="1:27" s="126" customFormat="1" ht="27.75" customHeight="1">
      <c r="A121" s="114" t="s">
        <v>187</v>
      </c>
      <c r="B121" s="115">
        <v>2</v>
      </c>
      <c r="C121" s="114" t="s">
        <v>189</v>
      </c>
      <c r="D121" s="334">
        <v>1.6</v>
      </c>
      <c r="E121" s="334">
        <v>1.85</v>
      </c>
      <c r="F121" s="334">
        <v>1.6</v>
      </c>
      <c r="G121" s="334">
        <v>1.86</v>
      </c>
      <c r="H121" s="88">
        <v>1</v>
      </c>
      <c r="I121" s="117">
        <v>4</v>
      </c>
      <c r="J121" s="89"/>
      <c r="K121" s="117"/>
      <c r="L121" s="117"/>
      <c r="M121" s="117"/>
      <c r="N121" s="91"/>
      <c r="O121" s="92"/>
      <c r="P121" s="89"/>
      <c r="Q121" s="117"/>
      <c r="R121" s="89"/>
      <c r="S121" s="94">
        <v>3</v>
      </c>
      <c r="T121" s="95">
        <v>2</v>
      </c>
      <c r="U121" s="89"/>
      <c r="V121" s="89"/>
      <c r="W121" s="89"/>
      <c r="X121" s="96">
        <f aca="true" t="shared" si="5" ref="X121:X185">M121+R121+W121</f>
        <v>0</v>
      </c>
      <c r="Y121" s="337"/>
      <c r="Z121" s="125"/>
      <c r="AA121" s="338" t="s">
        <v>190</v>
      </c>
    </row>
    <row r="122" spans="1:27" s="126" customFormat="1" ht="27.75" customHeight="1">
      <c r="A122" s="114"/>
      <c r="B122" s="115"/>
      <c r="C122" s="114"/>
      <c r="D122" s="334"/>
      <c r="E122" s="334"/>
      <c r="F122" s="334"/>
      <c r="G122" s="334"/>
      <c r="H122" s="88"/>
      <c r="I122" s="117"/>
      <c r="J122" s="89"/>
      <c r="K122" s="117"/>
      <c r="L122" s="117"/>
      <c r="M122" s="117"/>
      <c r="N122" s="91"/>
      <c r="O122" s="92"/>
      <c r="P122" s="89"/>
      <c r="Q122" s="117"/>
      <c r="R122" s="89"/>
      <c r="S122" s="94"/>
      <c r="T122" s="95"/>
      <c r="U122" s="89"/>
      <c r="V122" s="89"/>
      <c r="W122" s="89"/>
      <c r="X122" s="96"/>
      <c r="Y122" s="337"/>
      <c r="Z122" s="125"/>
      <c r="AA122" s="338"/>
    </row>
    <row r="123" spans="1:27" s="126" customFormat="1" ht="27.75" customHeight="1">
      <c r="A123" s="114" t="s">
        <v>187</v>
      </c>
      <c r="B123" s="115">
        <v>3</v>
      </c>
      <c r="C123" s="114" t="s">
        <v>191</v>
      </c>
      <c r="D123" s="334">
        <v>1.68</v>
      </c>
      <c r="E123" s="334">
        <v>1.64</v>
      </c>
      <c r="F123" s="334">
        <v>1.68</v>
      </c>
      <c r="G123" s="334">
        <v>1.66</v>
      </c>
      <c r="H123" s="88">
        <v>1</v>
      </c>
      <c r="I123" s="117">
        <v>6</v>
      </c>
      <c r="J123" s="89"/>
      <c r="K123" s="117"/>
      <c r="L123" s="117"/>
      <c r="M123" s="117"/>
      <c r="N123" s="91">
        <v>3</v>
      </c>
      <c r="O123" s="92">
        <v>4</v>
      </c>
      <c r="P123" s="89"/>
      <c r="Q123" s="117"/>
      <c r="R123" s="117"/>
      <c r="S123" s="94">
        <v>3</v>
      </c>
      <c r="T123" s="95">
        <v>4</v>
      </c>
      <c r="U123" s="89"/>
      <c r="V123" s="89"/>
      <c r="W123" s="89"/>
      <c r="X123" s="96">
        <f t="shared" si="5"/>
        <v>0</v>
      </c>
      <c r="Y123" s="337"/>
      <c r="Z123" s="125"/>
      <c r="AA123" s="338" t="s">
        <v>190</v>
      </c>
    </row>
    <row r="124" spans="1:27" s="126" customFormat="1" ht="27.75" customHeight="1">
      <c r="A124" s="114" t="s">
        <v>187</v>
      </c>
      <c r="B124" s="115">
        <v>4</v>
      </c>
      <c r="C124" s="114" t="s">
        <v>192</v>
      </c>
      <c r="D124" s="334">
        <v>1.4</v>
      </c>
      <c r="E124" s="334">
        <v>1.4</v>
      </c>
      <c r="F124" s="334">
        <v>1.4</v>
      </c>
      <c r="G124" s="334">
        <v>1.46</v>
      </c>
      <c r="H124" s="88">
        <v>0.84</v>
      </c>
      <c r="I124" s="117">
        <v>6</v>
      </c>
      <c r="J124" s="89"/>
      <c r="K124" s="117"/>
      <c r="L124" s="117"/>
      <c r="M124" s="117"/>
      <c r="N124" s="91"/>
      <c r="O124" s="92"/>
      <c r="P124" s="89"/>
      <c r="Q124" s="89"/>
      <c r="R124" s="89"/>
      <c r="S124" s="94">
        <v>3</v>
      </c>
      <c r="T124" s="95">
        <v>4</v>
      </c>
      <c r="U124" s="89"/>
      <c r="V124" s="89"/>
      <c r="W124" s="89"/>
      <c r="X124" s="96">
        <f t="shared" si="5"/>
        <v>0</v>
      </c>
      <c r="Y124" s="337"/>
      <c r="Z124" s="125"/>
      <c r="AA124" s="338" t="s">
        <v>190</v>
      </c>
    </row>
    <row r="125" spans="1:27" s="126" customFormat="1" ht="27.75" customHeight="1">
      <c r="A125" s="114" t="s">
        <v>187</v>
      </c>
      <c r="B125" s="115">
        <v>5</v>
      </c>
      <c r="C125" s="114" t="s">
        <v>193</v>
      </c>
      <c r="D125" s="334">
        <v>1.31</v>
      </c>
      <c r="E125" s="334">
        <v>1.35</v>
      </c>
      <c r="F125" s="334">
        <v>1.31</v>
      </c>
      <c r="G125" s="334">
        <v>1.36</v>
      </c>
      <c r="H125" s="88">
        <v>1</v>
      </c>
      <c r="I125" s="117">
        <v>6</v>
      </c>
      <c r="J125" s="89"/>
      <c r="K125" s="117"/>
      <c r="L125" s="117"/>
      <c r="M125" s="117"/>
      <c r="N125" s="91"/>
      <c r="O125" s="92"/>
      <c r="P125" s="89"/>
      <c r="Q125" s="117"/>
      <c r="R125" s="89"/>
      <c r="S125" s="94">
        <v>3</v>
      </c>
      <c r="T125" s="95">
        <v>4</v>
      </c>
      <c r="U125" s="117"/>
      <c r="V125" s="117"/>
      <c r="W125" s="117"/>
      <c r="X125" s="96">
        <f>M125+R125+W125</f>
        <v>0</v>
      </c>
      <c r="Y125" s="337"/>
      <c r="Z125" s="125"/>
      <c r="AA125" s="338" t="s">
        <v>190</v>
      </c>
    </row>
    <row r="126" spans="1:27" s="126" customFormat="1" ht="27.75" customHeight="1">
      <c r="A126" s="114" t="s">
        <v>194</v>
      </c>
      <c r="B126" s="115">
        <v>1</v>
      </c>
      <c r="C126" s="114" t="s">
        <v>195</v>
      </c>
      <c r="D126" s="339">
        <v>1.53</v>
      </c>
      <c r="E126" s="339">
        <v>1.51</v>
      </c>
      <c r="F126" s="339">
        <v>1.57</v>
      </c>
      <c r="G126" s="339">
        <v>1.54</v>
      </c>
      <c r="H126" s="340">
        <v>0</v>
      </c>
      <c r="I126" s="341"/>
      <c r="J126" s="89"/>
      <c r="K126" s="117"/>
      <c r="L126" s="89"/>
      <c r="M126" s="89"/>
      <c r="N126" s="167">
        <v>0</v>
      </c>
      <c r="O126" s="95"/>
      <c r="P126" s="89"/>
      <c r="Q126" s="117"/>
      <c r="R126" s="89"/>
      <c r="S126" s="89"/>
      <c r="T126" s="88"/>
      <c r="U126" s="342"/>
      <c r="V126" s="342"/>
      <c r="W126" s="342"/>
      <c r="X126" s="336">
        <f t="shared" si="5"/>
        <v>0</v>
      </c>
      <c r="Y126" s="337" t="s">
        <v>124</v>
      </c>
      <c r="Z126" s="125"/>
      <c r="AA126" s="338" t="s">
        <v>190</v>
      </c>
    </row>
    <row r="127" spans="1:27" s="126" customFormat="1" ht="27.75" customHeight="1">
      <c r="A127" s="114" t="s">
        <v>194</v>
      </c>
      <c r="B127" s="115"/>
      <c r="C127" s="114" t="s">
        <v>196</v>
      </c>
      <c r="D127" s="343"/>
      <c r="E127" s="343"/>
      <c r="F127" s="343"/>
      <c r="G127" s="343"/>
      <c r="H127" s="88">
        <v>1</v>
      </c>
      <c r="I127" s="117"/>
      <c r="J127" s="90"/>
      <c r="K127" s="90"/>
      <c r="L127" s="90"/>
      <c r="M127" s="90"/>
      <c r="N127" s="91"/>
      <c r="O127" s="92"/>
      <c r="P127" s="90"/>
      <c r="Q127" s="93"/>
      <c r="R127" s="90"/>
      <c r="S127" s="94"/>
      <c r="T127" s="95"/>
      <c r="U127" s="90"/>
      <c r="V127" s="93"/>
      <c r="W127" s="93"/>
      <c r="X127" s="96">
        <f t="shared" si="5"/>
        <v>0</v>
      </c>
      <c r="Y127" s="97"/>
      <c r="Z127" s="125"/>
      <c r="AA127" s="338" t="s">
        <v>190</v>
      </c>
    </row>
    <row r="128" spans="1:27" s="99" customFormat="1" ht="27.75" customHeight="1">
      <c r="A128" s="114" t="s">
        <v>194</v>
      </c>
      <c r="B128" s="115"/>
      <c r="C128" s="114" t="s">
        <v>197</v>
      </c>
      <c r="D128" s="343"/>
      <c r="E128" s="343"/>
      <c r="F128" s="343"/>
      <c r="G128" s="343"/>
      <c r="H128" s="88">
        <v>8</v>
      </c>
      <c r="I128" s="117"/>
      <c r="J128" s="90"/>
      <c r="K128" s="90"/>
      <c r="L128" s="90"/>
      <c r="M128" s="90"/>
      <c r="N128" s="91">
        <v>3</v>
      </c>
      <c r="O128" s="92">
        <v>8</v>
      </c>
      <c r="P128" s="90"/>
      <c r="Q128" s="93"/>
      <c r="R128" s="90"/>
      <c r="S128" s="94">
        <v>3</v>
      </c>
      <c r="T128" s="95">
        <v>4</v>
      </c>
      <c r="U128" s="90"/>
      <c r="V128" s="90"/>
      <c r="W128" s="90"/>
      <c r="X128" s="96">
        <f t="shared" si="5"/>
        <v>0</v>
      </c>
      <c r="Y128" s="97"/>
      <c r="Z128" s="98"/>
      <c r="AA128" s="314" t="s">
        <v>190</v>
      </c>
    </row>
    <row r="129" spans="1:27" s="99" customFormat="1" ht="27.75" customHeight="1">
      <c r="A129" s="114" t="s">
        <v>194</v>
      </c>
      <c r="B129" s="115">
        <v>2</v>
      </c>
      <c r="C129" s="114" t="s">
        <v>198</v>
      </c>
      <c r="D129" s="344">
        <v>1.46</v>
      </c>
      <c r="E129" s="339">
        <v>1.42</v>
      </c>
      <c r="F129" s="344">
        <v>1.49</v>
      </c>
      <c r="G129" s="339">
        <v>1.45</v>
      </c>
      <c r="H129" s="88">
        <v>0.96</v>
      </c>
      <c r="I129" s="117"/>
      <c r="J129" s="90"/>
      <c r="K129" s="90"/>
      <c r="L129" s="90"/>
      <c r="M129" s="90"/>
      <c r="N129" s="91">
        <v>1</v>
      </c>
      <c r="O129" s="92">
        <v>3</v>
      </c>
      <c r="P129" s="206"/>
      <c r="Q129" s="206"/>
      <c r="R129" s="206"/>
      <c r="S129" s="94">
        <v>3</v>
      </c>
      <c r="T129" s="95">
        <v>2</v>
      </c>
      <c r="U129" s="90"/>
      <c r="V129" s="90"/>
      <c r="W129" s="90"/>
      <c r="X129" s="96">
        <f>M129+R129+W129</f>
        <v>0</v>
      </c>
      <c r="Y129" s="97" t="s">
        <v>124</v>
      </c>
      <c r="Z129" s="98"/>
      <c r="AA129" s="314" t="s">
        <v>190</v>
      </c>
    </row>
    <row r="130" spans="1:27" s="99" customFormat="1" ht="27.75" customHeight="1">
      <c r="A130" s="114" t="s">
        <v>194</v>
      </c>
      <c r="B130" s="115"/>
      <c r="C130" s="114" t="s">
        <v>198</v>
      </c>
      <c r="D130" s="535"/>
      <c r="E130" s="343"/>
      <c r="F130" s="345"/>
      <c r="G130" s="343"/>
      <c r="H130" s="88"/>
      <c r="I130" s="117"/>
      <c r="J130" s="93"/>
      <c r="K130" s="90"/>
      <c r="L130" s="93"/>
      <c r="M130" s="90"/>
      <c r="N130" s="91"/>
      <c r="O130" s="92"/>
      <c r="P130" s="90"/>
      <c r="Q130" s="93"/>
      <c r="R130" s="90"/>
      <c r="S130" s="94"/>
      <c r="T130" s="95"/>
      <c r="U130" s="206"/>
      <c r="V130" s="206"/>
      <c r="W130" s="206"/>
      <c r="X130" s="96">
        <f>M130+R130+W130</f>
        <v>0</v>
      </c>
      <c r="Y130" s="97"/>
      <c r="Z130" s="98"/>
      <c r="AA130" s="314" t="s">
        <v>199</v>
      </c>
    </row>
    <row r="131" spans="1:29" s="99" customFormat="1" ht="27.75" customHeight="1">
      <c r="A131" s="114" t="s">
        <v>194</v>
      </c>
      <c r="B131" s="115">
        <v>3</v>
      </c>
      <c r="C131" s="114" t="s">
        <v>200</v>
      </c>
      <c r="D131" s="339">
        <v>1.18</v>
      </c>
      <c r="E131" s="339">
        <v>1.24</v>
      </c>
      <c r="F131" s="339">
        <v>1.2</v>
      </c>
      <c r="G131" s="339">
        <v>1.28</v>
      </c>
      <c r="H131" s="88">
        <v>3</v>
      </c>
      <c r="I131" s="89"/>
      <c r="J131" s="90"/>
      <c r="K131" s="90"/>
      <c r="L131" s="90"/>
      <c r="M131" s="90"/>
      <c r="N131" s="91">
        <v>3</v>
      </c>
      <c r="O131" s="92">
        <v>4</v>
      </c>
      <c r="P131" s="90"/>
      <c r="Q131" s="90"/>
      <c r="R131" s="90"/>
      <c r="S131" s="94">
        <v>3</v>
      </c>
      <c r="T131" s="95">
        <v>2</v>
      </c>
      <c r="U131" s="90"/>
      <c r="V131" s="93"/>
      <c r="W131" s="90"/>
      <c r="X131" s="96">
        <f t="shared" si="5"/>
        <v>0</v>
      </c>
      <c r="Y131" s="97"/>
      <c r="Z131" s="98"/>
      <c r="AA131" s="314"/>
      <c r="AB131" s="103"/>
      <c r="AC131" s="103"/>
    </row>
    <row r="132" spans="1:27" s="99" customFormat="1" ht="27.75" customHeight="1">
      <c r="A132" s="114" t="s">
        <v>194</v>
      </c>
      <c r="B132" s="115"/>
      <c r="C132" s="114" t="s">
        <v>200</v>
      </c>
      <c r="D132" s="343"/>
      <c r="E132" s="343"/>
      <c r="F132" s="343"/>
      <c r="G132" s="343"/>
      <c r="H132" s="88">
        <v>1</v>
      </c>
      <c r="I132" s="117"/>
      <c r="J132" s="90"/>
      <c r="K132" s="90"/>
      <c r="L132" s="93"/>
      <c r="M132" s="90"/>
      <c r="N132" s="91"/>
      <c r="O132" s="92"/>
      <c r="P132" s="206"/>
      <c r="Q132" s="206"/>
      <c r="R132" s="206"/>
      <c r="S132" s="94"/>
      <c r="T132" s="95"/>
      <c r="U132" s="206"/>
      <c r="V132" s="206"/>
      <c r="W132" s="206"/>
      <c r="X132" s="96">
        <f t="shared" si="5"/>
        <v>0</v>
      </c>
      <c r="Y132" s="97"/>
      <c r="Z132" s="98"/>
      <c r="AA132" s="314" t="s">
        <v>199</v>
      </c>
    </row>
    <row r="133" spans="1:27" s="99" customFormat="1" ht="27.75" customHeight="1">
      <c r="A133" s="114" t="s">
        <v>194</v>
      </c>
      <c r="B133" s="115">
        <v>4</v>
      </c>
      <c r="C133" s="114" t="s">
        <v>201</v>
      </c>
      <c r="D133" s="339">
        <v>1.15</v>
      </c>
      <c r="E133" s="339">
        <v>1.2</v>
      </c>
      <c r="F133" s="339">
        <v>1.19</v>
      </c>
      <c r="G133" s="339">
        <v>1.23</v>
      </c>
      <c r="H133" s="88">
        <v>1</v>
      </c>
      <c r="I133" s="117"/>
      <c r="J133" s="90"/>
      <c r="K133" s="117"/>
      <c r="L133" s="90"/>
      <c r="M133" s="90"/>
      <c r="N133" s="91">
        <v>3</v>
      </c>
      <c r="O133" s="92">
        <v>2</v>
      </c>
      <c r="P133" s="206"/>
      <c r="Q133" s="206"/>
      <c r="R133" s="206"/>
      <c r="S133" s="94"/>
      <c r="T133" s="95"/>
      <c r="U133" s="206"/>
      <c r="V133" s="206"/>
      <c r="W133" s="206"/>
      <c r="X133" s="96">
        <f t="shared" si="5"/>
        <v>0</v>
      </c>
      <c r="Y133" s="97"/>
      <c r="Z133" s="98"/>
      <c r="AA133" s="314"/>
    </row>
    <row r="134" spans="1:27" s="99" customFormat="1" ht="27.75" customHeight="1">
      <c r="A134" s="114" t="s">
        <v>194</v>
      </c>
      <c r="B134" s="115"/>
      <c r="C134" s="114" t="s">
        <v>201</v>
      </c>
      <c r="D134" s="343"/>
      <c r="E134" s="343"/>
      <c r="F134" s="343"/>
      <c r="G134" s="343"/>
      <c r="H134" s="88">
        <v>1</v>
      </c>
      <c r="I134" s="117"/>
      <c r="J134" s="90"/>
      <c r="K134" s="90"/>
      <c r="L134" s="90"/>
      <c r="M134" s="93"/>
      <c r="N134" s="91"/>
      <c r="O134" s="92"/>
      <c r="P134" s="93"/>
      <c r="Q134" s="93"/>
      <c r="R134" s="90"/>
      <c r="S134" s="94"/>
      <c r="T134" s="95"/>
      <c r="U134" s="206"/>
      <c r="V134" s="206"/>
      <c r="W134" s="206"/>
      <c r="X134" s="96">
        <f t="shared" si="5"/>
        <v>0</v>
      </c>
      <c r="Y134" s="346"/>
      <c r="Z134" s="98"/>
      <c r="AA134" s="314" t="s">
        <v>199</v>
      </c>
    </row>
    <row r="135" spans="1:27" s="99" customFormat="1" ht="27.75" customHeight="1">
      <c r="A135" s="114" t="s">
        <v>194</v>
      </c>
      <c r="B135" s="115">
        <v>5</v>
      </c>
      <c r="C135" s="114" t="s">
        <v>202</v>
      </c>
      <c r="D135" s="347">
        <v>1.14</v>
      </c>
      <c r="E135" s="347">
        <v>1.03</v>
      </c>
      <c r="F135" s="347">
        <v>1.18</v>
      </c>
      <c r="G135" s="347">
        <v>1.1</v>
      </c>
      <c r="H135" s="88">
        <v>1</v>
      </c>
      <c r="I135" s="117"/>
      <c r="J135" s="90"/>
      <c r="K135" s="90"/>
      <c r="L135" s="90"/>
      <c r="M135" s="90"/>
      <c r="N135" s="91"/>
      <c r="O135" s="92"/>
      <c r="P135" s="90"/>
      <c r="Q135" s="93"/>
      <c r="R135" s="206"/>
      <c r="S135" s="94"/>
      <c r="T135" s="95"/>
      <c r="U135" s="206"/>
      <c r="V135" s="206"/>
      <c r="W135" s="206"/>
      <c r="X135" s="96">
        <f t="shared" si="5"/>
        <v>0</v>
      </c>
      <c r="Y135" s="97"/>
      <c r="Z135" s="98"/>
      <c r="AA135" s="314"/>
    </row>
    <row r="136" spans="1:27" s="99" customFormat="1" ht="27.75" customHeight="1">
      <c r="A136" s="114" t="s">
        <v>194</v>
      </c>
      <c r="B136" s="115"/>
      <c r="C136" s="114" t="s">
        <v>202</v>
      </c>
      <c r="D136" s="348"/>
      <c r="E136" s="87"/>
      <c r="F136" s="348"/>
      <c r="G136" s="87"/>
      <c r="H136" s="88">
        <v>1</v>
      </c>
      <c r="I136" s="117"/>
      <c r="J136" s="93"/>
      <c r="K136" s="93"/>
      <c r="L136" s="93"/>
      <c r="M136" s="93"/>
      <c r="N136" s="91"/>
      <c r="O136" s="92"/>
      <c r="P136" s="90"/>
      <c r="Q136" s="93"/>
      <c r="R136" s="90"/>
      <c r="S136" s="94"/>
      <c r="T136" s="95"/>
      <c r="U136" s="206"/>
      <c r="V136" s="206"/>
      <c r="W136" s="206"/>
      <c r="X136" s="96">
        <f t="shared" si="5"/>
        <v>0</v>
      </c>
      <c r="Y136" s="97"/>
      <c r="Z136" s="98"/>
      <c r="AA136" s="314"/>
    </row>
    <row r="137" spans="1:27" s="99" customFormat="1" ht="27.75" customHeight="1">
      <c r="A137" s="114" t="s">
        <v>203</v>
      </c>
      <c r="B137" s="115">
        <v>1</v>
      </c>
      <c r="C137" s="114" t="s">
        <v>204</v>
      </c>
      <c r="D137" s="349"/>
      <c r="E137" s="349"/>
      <c r="F137" s="349"/>
      <c r="G137" s="349"/>
      <c r="H137" s="350">
        <v>1</v>
      </c>
      <c r="I137" s="342"/>
      <c r="J137" s="342"/>
      <c r="K137" s="342"/>
      <c r="L137" s="117"/>
      <c r="M137" s="117"/>
      <c r="N137" s="351">
        <v>3</v>
      </c>
      <c r="O137" s="92">
        <v>8</v>
      </c>
      <c r="P137" s="89"/>
      <c r="Q137" s="89"/>
      <c r="R137" s="89"/>
      <c r="S137" s="352"/>
      <c r="T137" s="353"/>
      <c r="U137" s="354"/>
      <c r="V137" s="117"/>
      <c r="W137" s="354"/>
      <c r="X137" s="96">
        <f t="shared" si="5"/>
        <v>0</v>
      </c>
      <c r="Y137" s="124"/>
      <c r="Z137" s="98"/>
      <c r="AA137" s="314" t="s">
        <v>199</v>
      </c>
    </row>
    <row r="138" spans="1:27" s="126" customFormat="1" ht="27.75" customHeight="1">
      <c r="A138" s="114" t="s">
        <v>203</v>
      </c>
      <c r="B138" s="115"/>
      <c r="C138" s="114" t="s">
        <v>205</v>
      </c>
      <c r="D138" s="261">
        <v>0.9</v>
      </c>
      <c r="E138" s="87">
        <v>1.17</v>
      </c>
      <c r="F138" s="261">
        <v>0.95</v>
      </c>
      <c r="G138" s="87">
        <v>1.2</v>
      </c>
      <c r="H138" s="350"/>
      <c r="I138" s="342"/>
      <c r="J138" s="90"/>
      <c r="K138" s="206"/>
      <c r="L138" s="93"/>
      <c r="M138" s="93"/>
      <c r="N138" s="351"/>
      <c r="O138" s="92"/>
      <c r="P138" s="355"/>
      <c r="Q138" s="355"/>
      <c r="R138" s="90"/>
      <c r="S138" s="352">
        <v>3</v>
      </c>
      <c r="T138" s="353">
        <v>4</v>
      </c>
      <c r="U138" s="355"/>
      <c r="V138" s="93"/>
      <c r="W138" s="355"/>
      <c r="X138" s="96">
        <f t="shared" si="5"/>
        <v>0</v>
      </c>
      <c r="Y138" s="97"/>
      <c r="Z138" s="125"/>
      <c r="AA138" s="338"/>
    </row>
    <row r="139" spans="1:27" s="99" customFormat="1" ht="27.75" customHeight="1">
      <c r="A139" s="114" t="s">
        <v>203</v>
      </c>
      <c r="B139" s="115"/>
      <c r="C139" s="114" t="s">
        <v>206</v>
      </c>
      <c r="D139" s="356"/>
      <c r="E139" s="357"/>
      <c r="F139" s="356"/>
      <c r="G139" s="357"/>
      <c r="H139" s="350">
        <v>1</v>
      </c>
      <c r="I139" s="342"/>
      <c r="J139" s="89"/>
      <c r="K139" s="263"/>
      <c r="L139" s="263"/>
      <c r="M139" s="263"/>
      <c r="N139" s="342"/>
      <c r="O139" s="88"/>
      <c r="P139" s="354"/>
      <c r="Q139" s="354"/>
      <c r="R139" s="89"/>
      <c r="S139" s="354"/>
      <c r="T139" s="350"/>
      <c r="U139" s="354"/>
      <c r="V139" s="117"/>
      <c r="W139" s="354"/>
      <c r="X139" s="336">
        <f t="shared" si="5"/>
        <v>0</v>
      </c>
      <c r="Y139" s="124" t="s">
        <v>124</v>
      </c>
      <c r="Z139" s="98"/>
      <c r="AA139" s="314"/>
    </row>
    <row r="140" spans="1:27" s="126" customFormat="1" ht="27.75" customHeight="1">
      <c r="A140" s="114" t="s">
        <v>203</v>
      </c>
      <c r="B140" s="115">
        <v>2</v>
      </c>
      <c r="C140" s="114" t="s">
        <v>207</v>
      </c>
      <c r="D140" s="358">
        <v>0.92</v>
      </c>
      <c r="E140" s="359">
        <v>1.19</v>
      </c>
      <c r="F140" s="358">
        <v>0.97</v>
      </c>
      <c r="G140" s="359">
        <v>1.23</v>
      </c>
      <c r="H140" s="350">
        <v>1</v>
      </c>
      <c r="I140" s="342"/>
      <c r="J140" s="89"/>
      <c r="K140" s="263"/>
      <c r="L140" s="537"/>
      <c r="M140" s="93"/>
      <c r="N140" s="351"/>
      <c r="O140" s="92"/>
      <c r="P140" s="355"/>
      <c r="Q140" s="355"/>
      <c r="R140" s="90"/>
      <c r="S140" s="352"/>
      <c r="T140" s="353"/>
      <c r="U140" s="355"/>
      <c r="V140" s="93"/>
      <c r="W140" s="355"/>
      <c r="X140" s="96">
        <f t="shared" si="5"/>
        <v>0</v>
      </c>
      <c r="Y140" s="97"/>
      <c r="Z140" s="125"/>
      <c r="AA140" s="338" t="s">
        <v>199</v>
      </c>
    </row>
    <row r="141" spans="1:27" s="99" customFormat="1" ht="27.75" customHeight="1">
      <c r="A141" s="114" t="s">
        <v>203</v>
      </c>
      <c r="B141" s="115">
        <v>3</v>
      </c>
      <c r="C141" s="114" t="s">
        <v>208</v>
      </c>
      <c r="D141" s="356"/>
      <c r="E141" s="357"/>
      <c r="F141" s="356"/>
      <c r="G141" s="357"/>
      <c r="H141" s="350">
        <v>1</v>
      </c>
      <c r="I141" s="342"/>
      <c r="J141" s="89"/>
      <c r="K141" s="263"/>
      <c r="L141" s="263"/>
      <c r="M141" s="156"/>
      <c r="N141" s="351"/>
      <c r="O141" s="92"/>
      <c r="P141" s="355"/>
      <c r="Q141" s="355"/>
      <c r="R141" s="90"/>
      <c r="S141" s="352"/>
      <c r="T141" s="353"/>
      <c r="U141" s="355"/>
      <c r="V141" s="93"/>
      <c r="W141" s="355"/>
      <c r="X141" s="96">
        <f t="shared" si="5"/>
        <v>0</v>
      </c>
      <c r="Y141" s="124" t="s">
        <v>124</v>
      </c>
      <c r="Z141" s="98"/>
      <c r="AA141" s="314" t="s">
        <v>199</v>
      </c>
    </row>
    <row r="142" spans="1:27" s="99" customFormat="1" ht="27.75" customHeight="1">
      <c r="A142" s="114" t="s">
        <v>203</v>
      </c>
      <c r="B142" s="115"/>
      <c r="C142" s="114" t="s">
        <v>209</v>
      </c>
      <c r="D142" s="360"/>
      <c r="E142" s="360"/>
      <c r="F142" s="360"/>
      <c r="G142" s="360"/>
      <c r="H142" s="350"/>
      <c r="I142" s="342"/>
      <c r="J142" s="90"/>
      <c r="K142" s="206"/>
      <c r="L142" s="93"/>
      <c r="M142" s="93"/>
      <c r="N142" s="351">
        <v>3</v>
      </c>
      <c r="O142" s="92">
        <v>6</v>
      </c>
      <c r="P142" s="355"/>
      <c r="Q142" s="355"/>
      <c r="R142" s="90"/>
      <c r="S142" s="352">
        <v>3</v>
      </c>
      <c r="T142" s="353">
        <v>4</v>
      </c>
      <c r="U142" s="355"/>
      <c r="V142" s="93"/>
      <c r="W142" s="355"/>
      <c r="X142" s="96">
        <f t="shared" si="5"/>
        <v>0</v>
      </c>
      <c r="Y142" s="97"/>
      <c r="Z142" s="98"/>
      <c r="AA142" s="314"/>
    </row>
    <row r="143" spans="1:27" s="99" customFormat="1" ht="27.75" customHeight="1">
      <c r="A143" s="114" t="s">
        <v>203</v>
      </c>
      <c r="B143" s="115">
        <v>4</v>
      </c>
      <c r="C143" s="114" t="s">
        <v>210</v>
      </c>
      <c r="D143" s="356">
        <v>0.94</v>
      </c>
      <c r="E143" s="357">
        <v>1.28</v>
      </c>
      <c r="F143" s="356">
        <v>0.95</v>
      </c>
      <c r="G143" s="357">
        <v>1.28</v>
      </c>
      <c r="H143" s="350">
        <v>1</v>
      </c>
      <c r="I143" s="342"/>
      <c r="J143" s="90"/>
      <c r="K143" s="206"/>
      <c r="L143" s="93"/>
      <c r="M143" s="93"/>
      <c r="N143" s="351"/>
      <c r="O143" s="92"/>
      <c r="P143" s="355"/>
      <c r="Q143" s="355"/>
      <c r="R143" s="90"/>
      <c r="S143" s="352"/>
      <c r="T143" s="353"/>
      <c r="U143" s="355"/>
      <c r="V143" s="93"/>
      <c r="W143" s="355"/>
      <c r="X143" s="96">
        <f t="shared" si="5"/>
        <v>0</v>
      </c>
      <c r="Y143" s="97"/>
      <c r="Z143" s="98"/>
      <c r="AA143" s="314" t="s">
        <v>211</v>
      </c>
    </row>
    <row r="144" spans="1:27" s="99" customFormat="1" ht="27.75" customHeight="1">
      <c r="A144" s="114" t="s">
        <v>203</v>
      </c>
      <c r="B144" s="115">
        <v>5</v>
      </c>
      <c r="C144" s="114" t="s">
        <v>212</v>
      </c>
      <c r="D144" s="356"/>
      <c r="E144" s="357"/>
      <c r="F144" s="356"/>
      <c r="G144" s="357"/>
      <c r="H144" s="350">
        <v>0.69</v>
      </c>
      <c r="I144" s="342"/>
      <c r="J144" s="90"/>
      <c r="K144" s="206"/>
      <c r="L144" s="156"/>
      <c r="M144" s="156"/>
      <c r="N144" s="351"/>
      <c r="O144" s="92"/>
      <c r="P144" s="355"/>
      <c r="Q144" s="355"/>
      <c r="R144" s="90"/>
      <c r="S144" s="352">
        <v>3</v>
      </c>
      <c r="T144" s="353">
        <v>3</v>
      </c>
      <c r="U144" s="355"/>
      <c r="V144" s="93"/>
      <c r="W144" s="355"/>
      <c r="X144" s="96">
        <f t="shared" si="5"/>
        <v>0</v>
      </c>
      <c r="Y144" s="97"/>
      <c r="Z144" s="98"/>
      <c r="AA144" s="314" t="s">
        <v>211</v>
      </c>
    </row>
    <row r="145" spans="1:27" s="99" customFormat="1" ht="27.75" customHeight="1">
      <c r="A145" s="114" t="s">
        <v>203</v>
      </c>
      <c r="B145" s="115"/>
      <c r="C145" s="114" t="s">
        <v>212</v>
      </c>
      <c r="D145" s="87"/>
      <c r="E145" s="87"/>
      <c r="F145" s="87"/>
      <c r="G145" s="87"/>
      <c r="H145" s="350"/>
      <c r="I145" s="342"/>
      <c r="J145" s="90"/>
      <c r="K145" s="206"/>
      <c r="L145" s="93"/>
      <c r="M145" s="282"/>
      <c r="N145" s="351"/>
      <c r="O145" s="92"/>
      <c r="P145" s="355"/>
      <c r="Q145" s="355"/>
      <c r="R145" s="90"/>
      <c r="S145" s="352"/>
      <c r="T145" s="353"/>
      <c r="U145" s="355"/>
      <c r="V145" s="93"/>
      <c r="W145" s="355"/>
      <c r="X145" s="96">
        <f t="shared" si="5"/>
        <v>0</v>
      </c>
      <c r="Y145" s="97"/>
      <c r="Z145" s="98"/>
      <c r="AA145" s="314"/>
    </row>
    <row r="146" spans="1:27" s="99" customFormat="1" ht="27.75" customHeight="1">
      <c r="A146" s="114" t="s">
        <v>203</v>
      </c>
      <c r="B146" s="115">
        <v>6</v>
      </c>
      <c r="C146" s="114" t="s">
        <v>213</v>
      </c>
      <c r="D146" s="87"/>
      <c r="E146" s="87"/>
      <c r="F146" s="87"/>
      <c r="G146" s="87"/>
      <c r="H146" s="350">
        <v>1</v>
      </c>
      <c r="I146" s="342">
        <v>6</v>
      </c>
      <c r="J146" s="90"/>
      <c r="K146" s="206"/>
      <c r="L146" s="93"/>
      <c r="M146" s="93"/>
      <c r="N146" s="351"/>
      <c r="O146" s="92"/>
      <c r="P146" s="355"/>
      <c r="Q146" s="355"/>
      <c r="R146" s="90"/>
      <c r="S146" s="352"/>
      <c r="T146" s="353"/>
      <c r="U146" s="355"/>
      <c r="V146" s="93"/>
      <c r="W146" s="355"/>
      <c r="X146" s="96">
        <f t="shared" si="5"/>
        <v>0</v>
      </c>
      <c r="Y146" s="97"/>
      <c r="Z146" s="98"/>
      <c r="AA146" s="314" t="s">
        <v>211</v>
      </c>
    </row>
    <row r="147" spans="1:27" s="99" customFormat="1" ht="27.75" customHeight="1">
      <c r="A147" s="114" t="s">
        <v>203</v>
      </c>
      <c r="B147" s="115">
        <v>7</v>
      </c>
      <c r="C147" s="114" t="s">
        <v>214</v>
      </c>
      <c r="D147" s="87"/>
      <c r="E147" s="87"/>
      <c r="F147" s="87"/>
      <c r="G147" s="87"/>
      <c r="H147" s="350">
        <v>1</v>
      </c>
      <c r="I147" s="342">
        <v>3</v>
      </c>
      <c r="J147" s="90"/>
      <c r="K147" s="206"/>
      <c r="L147" s="93"/>
      <c r="M147" s="93"/>
      <c r="N147" s="351"/>
      <c r="O147" s="92"/>
      <c r="P147" s="355"/>
      <c r="Q147" s="355"/>
      <c r="R147" s="90"/>
      <c r="S147" s="352"/>
      <c r="T147" s="353"/>
      <c r="U147" s="355"/>
      <c r="V147" s="93"/>
      <c r="W147" s="355"/>
      <c r="X147" s="96">
        <f t="shared" si="5"/>
        <v>0</v>
      </c>
      <c r="Y147" s="97"/>
      <c r="Z147" s="98"/>
      <c r="AA147" s="314" t="s">
        <v>211</v>
      </c>
    </row>
    <row r="148" spans="1:27" s="99" customFormat="1" ht="27.75" customHeight="1">
      <c r="A148" s="114" t="s">
        <v>203</v>
      </c>
      <c r="B148" s="115"/>
      <c r="C148" s="114"/>
      <c r="D148" s="87"/>
      <c r="E148" s="87"/>
      <c r="F148" s="87"/>
      <c r="G148" s="87"/>
      <c r="H148" s="350"/>
      <c r="I148" s="342"/>
      <c r="J148" s="90"/>
      <c r="K148" s="206"/>
      <c r="L148" s="93"/>
      <c r="M148" s="93"/>
      <c r="N148" s="351"/>
      <c r="O148" s="92"/>
      <c r="P148" s="355"/>
      <c r="Q148" s="355"/>
      <c r="R148" s="90"/>
      <c r="S148" s="352"/>
      <c r="T148" s="353"/>
      <c r="U148" s="355"/>
      <c r="V148" s="93"/>
      <c r="W148" s="355"/>
      <c r="X148" s="96">
        <f t="shared" si="5"/>
        <v>0</v>
      </c>
      <c r="Y148" s="97"/>
      <c r="Z148" s="98"/>
      <c r="AA148" s="314"/>
    </row>
    <row r="149" spans="1:27" s="99" customFormat="1" ht="27.75" customHeight="1">
      <c r="A149" s="114" t="s">
        <v>203</v>
      </c>
      <c r="B149" s="115">
        <v>8</v>
      </c>
      <c r="C149" s="114" t="s">
        <v>215</v>
      </c>
      <c r="D149" s="87"/>
      <c r="E149" s="87"/>
      <c r="F149" s="87"/>
      <c r="G149" s="87"/>
      <c r="H149" s="350">
        <v>1</v>
      </c>
      <c r="I149" s="342">
        <v>3</v>
      </c>
      <c r="J149" s="90"/>
      <c r="K149" s="206"/>
      <c r="L149" s="93"/>
      <c r="M149" s="93"/>
      <c r="N149" s="351"/>
      <c r="O149" s="92"/>
      <c r="P149" s="355"/>
      <c r="Q149" s="355"/>
      <c r="R149" s="90"/>
      <c r="S149" s="352"/>
      <c r="T149" s="353"/>
      <c r="U149" s="355"/>
      <c r="V149" s="93"/>
      <c r="W149" s="355"/>
      <c r="X149" s="96">
        <f t="shared" si="5"/>
        <v>0</v>
      </c>
      <c r="Y149" s="97"/>
      <c r="Z149" s="98"/>
      <c r="AA149" s="314" t="s">
        <v>211</v>
      </c>
    </row>
    <row r="150" spans="1:27" s="99" customFormat="1" ht="27.75" customHeight="1">
      <c r="A150" s="114" t="s">
        <v>203</v>
      </c>
      <c r="B150" s="115">
        <v>9</v>
      </c>
      <c r="C150" s="114" t="s">
        <v>216</v>
      </c>
      <c r="D150" s="87"/>
      <c r="E150" s="87"/>
      <c r="F150" s="87"/>
      <c r="G150" s="87"/>
      <c r="H150" s="350">
        <v>1</v>
      </c>
      <c r="I150" s="342">
        <v>4</v>
      </c>
      <c r="J150" s="90"/>
      <c r="K150" s="206"/>
      <c r="L150" s="93"/>
      <c r="M150" s="93"/>
      <c r="N150" s="351"/>
      <c r="O150" s="92"/>
      <c r="P150" s="355"/>
      <c r="Q150" s="355"/>
      <c r="R150" s="90"/>
      <c r="S150" s="352"/>
      <c r="T150" s="353"/>
      <c r="U150" s="355"/>
      <c r="V150" s="93"/>
      <c r="W150" s="355"/>
      <c r="X150" s="96">
        <f t="shared" si="5"/>
        <v>0</v>
      </c>
      <c r="Y150" s="97"/>
      <c r="Z150" s="98"/>
      <c r="AA150" s="314" t="s">
        <v>211</v>
      </c>
    </row>
    <row r="151" spans="1:27" s="99" customFormat="1" ht="27.75" customHeight="1">
      <c r="A151" s="114" t="s">
        <v>203</v>
      </c>
      <c r="B151" s="115"/>
      <c r="C151" s="114" t="s">
        <v>216</v>
      </c>
      <c r="D151" s="87"/>
      <c r="E151" s="87"/>
      <c r="F151" s="87"/>
      <c r="G151" s="87"/>
      <c r="H151" s="350"/>
      <c r="I151" s="342"/>
      <c r="J151" s="90"/>
      <c r="K151" s="206"/>
      <c r="L151" s="93"/>
      <c r="M151" s="93"/>
      <c r="N151" s="351"/>
      <c r="O151" s="92"/>
      <c r="P151" s="355"/>
      <c r="Q151" s="355"/>
      <c r="R151" s="90"/>
      <c r="S151" s="352"/>
      <c r="T151" s="353"/>
      <c r="U151" s="355"/>
      <c r="V151" s="93"/>
      <c r="W151" s="355"/>
      <c r="X151" s="96">
        <f t="shared" si="5"/>
        <v>0</v>
      </c>
      <c r="Y151" s="97"/>
      <c r="Z151" s="98"/>
      <c r="AA151" s="314"/>
    </row>
    <row r="152" spans="1:27" s="99" customFormat="1" ht="27.75" customHeight="1">
      <c r="A152" s="114" t="s">
        <v>203</v>
      </c>
      <c r="B152" s="115">
        <v>10</v>
      </c>
      <c r="C152" s="114" t="s">
        <v>217</v>
      </c>
      <c r="D152" s="87"/>
      <c r="E152" s="87"/>
      <c r="F152" s="87"/>
      <c r="G152" s="87"/>
      <c r="H152" s="350">
        <v>1</v>
      </c>
      <c r="I152" s="342">
        <v>4</v>
      </c>
      <c r="J152" s="90"/>
      <c r="K152" s="206"/>
      <c r="L152" s="93"/>
      <c r="M152" s="93"/>
      <c r="N152" s="351"/>
      <c r="O152" s="92"/>
      <c r="P152" s="355"/>
      <c r="Q152" s="355"/>
      <c r="R152" s="90"/>
      <c r="S152" s="352"/>
      <c r="T152" s="353"/>
      <c r="U152" s="355"/>
      <c r="V152" s="93"/>
      <c r="W152" s="355"/>
      <c r="X152" s="96">
        <f t="shared" si="5"/>
        <v>0</v>
      </c>
      <c r="Y152" s="97"/>
      <c r="Z152" s="98"/>
      <c r="AA152" s="314" t="s">
        <v>211</v>
      </c>
    </row>
    <row r="153" spans="1:27" s="99" customFormat="1" ht="27.75" customHeight="1">
      <c r="A153" s="114" t="s">
        <v>203</v>
      </c>
      <c r="B153" s="115">
        <v>11</v>
      </c>
      <c r="C153" s="114" t="s">
        <v>218</v>
      </c>
      <c r="D153" s="87"/>
      <c r="E153" s="87"/>
      <c r="F153" s="87"/>
      <c r="G153" s="87"/>
      <c r="H153" s="350">
        <v>1</v>
      </c>
      <c r="I153" s="342">
        <v>4</v>
      </c>
      <c r="J153" s="90"/>
      <c r="K153" s="206"/>
      <c r="L153" s="93"/>
      <c r="M153" s="93"/>
      <c r="N153" s="351"/>
      <c r="O153" s="92"/>
      <c r="P153" s="355"/>
      <c r="Q153" s="355"/>
      <c r="R153" s="90"/>
      <c r="S153" s="352">
        <v>3</v>
      </c>
      <c r="T153" s="353">
        <v>1</v>
      </c>
      <c r="U153" s="355"/>
      <c r="V153" s="93"/>
      <c r="W153" s="355"/>
      <c r="X153" s="96">
        <f t="shared" si="5"/>
        <v>0</v>
      </c>
      <c r="Y153" s="97"/>
      <c r="Z153" s="98"/>
      <c r="AA153" s="314" t="s">
        <v>211</v>
      </c>
    </row>
    <row r="154" spans="1:27" s="99" customFormat="1" ht="27.75" customHeight="1">
      <c r="A154" s="114" t="s">
        <v>203</v>
      </c>
      <c r="B154" s="115"/>
      <c r="C154" s="114" t="s">
        <v>218</v>
      </c>
      <c r="D154" s="87"/>
      <c r="E154" s="87"/>
      <c r="F154" s="87"/>
      <c r="G154" s="87"/>
      <c r="H154" s="350"/>
      <c r="I154" s="342"/>
      <c r="J154" s="90"/>
      <c r="K154" s="206"/>
      <c r="L154" s="93"/>
      <c r="M154" s="93"/>
      <c r="N154" s="351"/>
      <c r="O154" s="92"/>
      <c r="P154" s="355"/>
      <c r="Q154" s="355"/>
      <c r="R154" s="90"/>
      <c r="S154" s="352"/>
      <c r="T154" s="353"/>
      <c r="U154" s="355"/>
      <c r="V154" s="93"/>
      <c r="W154" s="355"/>
      <c r="X154" s="96">
        <f t="shared" si="5"/>
        <v>0</v>
      </c>
      <c r="Y154" s="97"/>
      <c r="Z154" s="98"/>
      <c r="AA154" s="314"/>
    </row>
    <row r="155" spans="1:27" s="99" customFormat="1" ht="27.75" customHeight="1">
      <c r="A155" s="114" t="s">
        <v>203</v>
      </c>
      <c r="B155" s="115">
        <v>12</v>
      </c>
      <c r="C155" s="114" t="s">
        <v>219</v>
      </c>
      <c r="D155" s="87"/>
      <c r="E155" s="87"/>
      <c r="F155" s="87"/>
      <c r="G155" s="87"/>
      <c r="H155" s="350">
        <v>2</v>
      </c>
      <c r="I155" s="342">
        <v>6</v>
      </c>
      <c r="J155" s="90"/>
      <c r="K155" s="206"/>
      <c r="L155" s="93"/>
      <c r="M155" s="93"/>
      <c r="N155" s="351"/>
      <c r="O155" s="92"/>
      <c r="P155" s="355"/>
      <c r="Q155" s="355"/>
      <c r="R155" s="90"/>
      <c r="S155" s="352">
        <v>3</v>
      </c>
      <c r="T155" s="353">
        <v>2</v>
      </c>
      <c r="U155" s="355"/>
      <c r="V155" s="93"/>
      <c r="W155" s="355"/>
      <c r="X155" s="96">
        <f t="shared" si="5"/>
        <v>0</v>
      </c>
      <c r="Y155" s="97"/>
      <c r="Z155" s="98"/>
      <c r="AA155" s="314" t="s">
        <v>211</v>
      </c>
    </row>
    <row r="156" spans="1:27" s="99" customFormat="1" ht="27.75" customHeight="1">
      <c r="A156" s="114" t="s">
        <v>203</v>
      </c>
      <c r="B156" s="115">
        <v>13</v>
      </c>
      <c r="C156" s="114" t="s">
        <v>220</v>
      </c>
      <c r="D156" s="87"/>
      <c r="E156" s="87"/>
      <c r="F156" s="87"/>
      <c r="G156" s="87"/>
      <c r="H156" s="350">
        <v>1</v>
      </c>
      <c r="I156" s="342">
        <v>4</v>
      </c>
      <c r="J156" s="90"/>
      <c r="K156" s="206"/>
      <c r="L156" s="93"/>
      <c r="M156" s="93"/>
      <c r="N156" s="351"/>
      <c r="O156" s="92"/>
      <c r="P156" s="355"/>
      <c r="Q156" s="355"/>
      <c r="R156" s="90"/>
      <c r="S156" s="352"/>
      <c r="T156" s="353"/>
      <c r="U156" s="355"/>
      <c r="V156" s="93"/>
      <c r="W156" s="355"/>
      <c r="X156" s="96">
        <f t="shared" si="5"/>
        <v>0</v>
      </c>
      <c r="Y156" s="97"/>
      <c r="Z156" s="98"/>
      <c r="AA156" s="314" t="s">
        <v>211</v>
      </c>
    </row>
    <row r="157" spans="1:27" s="99" customFormat="1" ht="27.75" customHeight="1">
      <c r="A157" s="114" t="s">
        <v>203</v>
      </c>
      <c r="B157" s="115"/>
      <c r="C157" s="114" t="s">
        <v>220</v>
      </c>
      <c r="D157" s="87"/>
      <c r="E157" s="87"/>
      <c r="F157" s="87"/>
      <c r="G157" s="87"/>
      <c r="H157" s="350"/>
      <c r="I157" s="342"/>
      <c r="J157" s="90"/>
      <c r="K157" s="206"/>
      <c r="L157" s="93"/>
      <c r="M157" s="93"/>
      <c r="N157" s="351"/>
      <c r="O157" s="92"/>
      <c r="P157" s="355"/>
      <c r="Q157" s="355"/>
      <c r="R157" s="90"/>
      <c r="S157" s="352"/>
      <c r="T157" s="353"/>
      <c r="U157" s="355"/>
      <c r="V157" s="93"/>
      <c r="W157" s="355"/>
      <c r="X157" s="96">
        <f t="shared" si="5"/>
        <v>0</v>
      </c>
      <c r="Y157" s="97"/>
      <c r="Z157" s="98"/>
      <c r="AA157" s="314"/>
    </row>
    <row r="158" spans="1:27" s="99" customFormat="1" ht="27.75" customHeight="1">
      <c r="A158" s="114" t="s">
        <v>203</v>
      </c>
      <c r="B158" s="115">
        <v>14</v>
      </c>
      <c r="C158" s="114" t="s">
        <v>221</v>
      </c>
      <c r="D158" s="87"/>
      <c r="E158" s="87"/>
      <c r="F158" s="87"/>
      <c r="G158" s="87"/>
      <c r="H158" s="350">
        <v>1</v>
      </c>
      <c r="I158" s="342">
        <v>3</v>
      </c>
      <c r="J158" s="90"/>
      <c r="K158" s="206"/>
      <c r="L158" s="93"/>
      <c r="M158" s="93"/>
      <c r="N158" s="351"/>
      <c r="O158" s="92"/>
      <c r="P158" s="355"/>
      <c r="Q158" s="355"/>
      <c r="R158" s="90"/>
      <c r="S158" s="352"/>
      <c r="T158" s="353"/>
      <c r="U158" s="355"/>
      <c r="V158" s="93"/>
      <c r="W158" s="355"/>
      <c r="X158" s="96">
        <f t="shared" si="5"/>
        <v>0</v>
      </c>
      <c r="Y158" s="97"/>
      <c r="Z158" s="98"/>
      <c r="AA158" s="314" t="s">
        <v>211</v>
      </c>
    </row>
    <row r="159" spans="1:27" s="99" customFormat="1" ht="27.75" customHeight="1">
      <c r="A159" s="114" t="s">
        <v>203</v>
      </c>
      <c r="B159" s="115">
        <v>15</v>
      </c>
      <c r="C159" s="114" t="s">
        <v>222</v>
      </c>
      <c r="D159" s="87"/>
      <c r="E159" s="87"/>
      <c r="F159" s="87"/>
      <c r="G159" s="87"/>
      <c r="H159" s="350">
        <v>1</v>
      </c>
      <c r="I159" s="342">
        <v>4</v>
      </c>
      <c r="J159" s="90"/>
      <c r="K159" s="206"/>
      <c r="L159" s="93"/>
      <c r="M159" s="93"/>
      <c r="N159" s="351"/>
      <c r="O159" s="92"/>
      <c r="P159" s="355"/>
      <c r="Q159" s="355"/>
      <c r="R159" s="90"/>
      <c r="S159" s="352"/>
      <c r="T159" s="353"/>
      <c r="U159" s="355"/>
      <c r="V159" s="93"/>
      <c r="W159" s="355"/>
      <c r="X159" s="96">
        <f t="shared" si="5"/>
        <v>0</v>
      </c>
      <c r="Y159" s="97"/>
      <c r="Z159" s="98"/>
      <c r="AA159" s="314" t="s">
        <v>211</v>
      </c>
    </row>
    <row r="160" spans="1:27" s="99" customFormat="1" ht="27.75" customHeight="1">
      <c r="A160" s="114" t="s">
        <v>203</v>
      </c>
      <c r="B160" s="115">
        <v>16</v>
      </c>
      <c r="C160" s="114" t="s">
        <v>223</v>
      </c>
      <c r="D160" s="87"/>
      <c r="E160" s="87"/>
      <c r="F160" s="87"/>
      <c r="G160" s="87"/>
      <c r="H160" s="350">
        <v>1</v>
      </c>
      <c r="I160" s="342">
        <v>4</v>
      </c>
      <c r="J160" s="90"/>
      <c r="K160" s="206"/>
      <c r="L160" s="93"/>
      <c r="M160" s="93"/>
      <c r="N160" s="351"/>
      <c r="O160" s="92"/>
      <c r="P160" s="355"/>
      <c r="Q160" s="355"/>
      <c r="R160" s="90"/>
      <c r="S160" s="352">
        <v>3</v>
      </c>
      <c r="T160" s="353">
        <v>2</v>
      </c>
      <c r="U160" s="355"/>
      <c r="V160" s="93"/>
      <c r="W160" s="355"/>
      <c r="X160" s="96">
        <f t="shared" si="5"/>
        <v>0</v>
      </c>
      <c r="Y160" s="97"/>
      <c r="Z160" s="98"/>
      <c r="AA160" s="314"/>
    </row>
    <row r="161" spans="1:27" s="99" customFormat="1" ht="27.75" customHeight="1">
      <c r="A161" s="114" t="s">
        <v>203</v>
      </c>
      <c r="B161" s="115">
        <v>17</v>
      </c>
      <c r="C161" s="114" t="s">
        <v>224</v>
      </c>
      <c r="D161" s="87"/>
      <c r="E161" s="87"/>
      <c r="F161" s="87"/>
      <c r="G161" s="87"/>
      <c r="H161" s="350">
        <v>1</v>
      </c>
      <c r="I161" s="342">
        <v>4</v>
      </c>
      <c r="J161" s="90"/>
      <c r="K161" s="206"/>
      <c r="L161" s="93"/>
      <c r="M161" s="93"/>
      <c r="N161" s="351"/>
      <c r="O161" s="92"/>
      <c r="P161" s="355"/>
      <c r="Q161" s="355"/>
      <c r="R161" s="90"/>
      <c r="S161" s="352"/>
      <c r="T161" s="353"/>
      <c r="U161" s="355"/>
      <c r="V161" s="93"/>
      <c r="W161" s="355"/>
      <c r="X161" s="96">
        <f t="shared" si="5"/>
        <v>0</v>
      </c>
      <c r="Y161" s="97"/>
      <c r="Z161" s="98"/>
      <c r="AA161" s="314" t="s">
        <v>211</v>
      </c>
    </row>
    <row r="162" spans="1:27" s="99" customFormat="1" ht="27.75" customHeight="1">
      <c r="A162" s="114" t="s">
        <v>203</v>
      </c>
      <c r="B162" s="115">
        <v>18</v>
      </c>
      <c r="C162" s="114" t="s">
        <v>225</v>
      </c>
      <c r="D162" s="87">
        <v>0.9640000000000073</v>
      </c>
      <c r="E162" s="87">
        <v>1.1740000000000073</v>
      </c>
      <c r="F162" s="87">
        <v>0.9640000000000073</v>
      </c>
      <c r="G162" s="87">
        <v>1.1740000000000073</v>
      </c>
      <c r="H162" s="350">
        <v>1</v>
      </c>
      <c r="I162" s="342">
        <v>4</v>
      </c>
      <c r="J162" s="90"/>
      <c r="K162" s="206"/>
      <c r="L162" s="93"/>
      <c r="M162" s="93"/>
      <c r="N162" s="351"/>
      <c r="O162" s="92"/>
      <c r="P162" s="355"/>
      <c r="Q162" s="355"/>
      <c r="R162" s="90"/>
      <c r="S162" s="352"/>
      <c r="T162" s="353"/>
      <c r="U162" s="355"/>
      <c r="V162" s="93"/>
      <c r="W162" s="355"/>
      <c r="X162" s="96">
        <f t="shared" si="5"/>
        <v>0</v>
      </c>
      <c r="Y162" s="97"/>
      <c r="Z162" s="98"/>
      <c r="AA162" s="314" t="s">
        <v>211</v>
      </c>
    </row>
    <row r="163" spans="1:27" s="99" customFormat="1" ht="27.75" customHeight="1">
      <c r="A163" s="114" t="s">
        <v>203</v>
      </c>
      <c r="B163" s="115"/>
      <c r="C163" s="114" t="s">
        <v>225</v>
      </c>
      <c r="D163" s="87"/>
      <c r="E163" s="87"/>
      <c r="F163" s="87"/>
      <c r="G163" s="87"/>
      <c r="H163" s="350"/>
      <c r="I163" s="342"/>
      <c r="J163" s="90"/>
      <c r="K163" s="206"/>
      <c r="L163" s="93"/>
      <c r="M163" s="93"/>
      <c r="N163" s="351"/>
      <c r="O163" s="92"/>
      <c r="P163" s="355"/>
      <c r="Q163" s="355"/>
      <c r="R163" s="90"/>
      <c r="S163" s="352">
        <v>3</v>
      </c>
      <c r="T163" s="353">
        <v>2</v>
      </c>
      <c r="U163" s="355"/>
      <c r="V163" s="93"/>
      <c r="W163" s="355"/>
      <c r="X163" s="96">
        <f t="shared" si="5"/>
        <v>0</v>
      </c>
      <c r="Y163" s="97"/>
      <c r="Z163" s="98"/>
      <c r="AA163" s="314" t="s">
        <v>211</v>
      </c>
    </row>
    <row r="164" spans="1:27" s="99" customFormat="1" ht="27.75" customHeight="1">
      <c r="A164" s="114" t="s">
        <v>203</v>
      </c>
      <c r="B164" s="115"/>
      <c r="C164" s="114" t="s">
        <v>225</v>
      </c>
      <c r="D164" s="87"/>
      <c r="E164" s="87"/>
      <c r="F164" s="87"/>
      <c r="G164" s="87"/>
      <c r="H164" s="350"/>
      <c r="I164" s="342"/>
      <c r="J164" s="90"/>
      <c r="K164" s="206"/>
      <c r="L164" s="93"/>
      <c r="M164" s="93"/>
      <c r="N164" s="351"/>
      <c r="O164" s="92"/>
      <c r="P164" s="355"/>
      <c r="Q164" s="355"/>
      <c r="R164" s="90"/>
      <c r="S164" s="352"/>
      <c r="T164" s="353"/>
      <c r="U164" s="355"/>
      <c r="V164" s="93"/>
      <c r="W164" s="355"/>
      <c r="X164" s="96">
        <f t="shared" si="5"/>
        <v>0</v>
      </c>
      <c r="Y164" s="97"/>
      <c r="Z164" s="98"/>
      <c r="AA164" s="314" t="s">
        <v>211</v>
      </c>
    </row>
    <row r="165" spans="1:27" s="99" customFormat="1" ht="27.75" customHeight="1">
      <c r="A165" s="114" t="s">
        <v>203</v>
      </c>
      <c r="B165" s="115">
        <v>19</v>
      </c>
      <c r="C165" s="114" t="s">
        <v>226</v>
      </c>
      <c r="D165" s="87"/>
      <c r="E165" s="87"/>
      <c r="F165" s="87"/>
      <c r="G165" s="87"/>
      <c r="H165" s="350">
        <v>1</v>
      </c>
      <c r="I165" s="342">
        <v>4</v>
      </c>
      <c r="J165" s="90"/>
      <c r="K165" s="206"/>
      <c r="L165" s="93"/>
      <c r="M165" s="93"/>
      <c r="N165" s="351"/>
      <c r="O165" s="92"/>
      <c r="P165" s="355"/>
      <c r="Q165" s="355"/>
      <c r="R165" s="90"/>
      <c r="S165" s="352"/>
      <c r="T165" s="353"/>
      <c r="U165" s="355"/>
      <c r="V165" s="93"/>
      <c r="W165" s="355"/>
      <c r="X165" s="96">
        <f t="shared" si="5"/>
        <v>0</v>
      </c>
      <c r="Y165" s="97"/>
      <c r="Z165" s="98"/>
      <c r="AA165" s="314" t="s">
        <v>211</v>
      </c>
    </row>
    <row r="166" spans="1:27" s="99" customFormat="1" ht="27.75" customHeight="1">
      <c r="A166" s="114" t="s">
        <v>203</v>
      </c>
      <c r="B166" s="115">
        <v>20</v>
      </c>
      <c r="C166" s="114" t="s">
        <v>227</v>
      </c>
      <c r="D166" s="87"/>
      <c r="E166" s="87"/>
      <c r="F166" s="87"/>
      <c r="G166" s="87"/>
      <c r="H166" s="350">
        <v>1</v>
      </c>
      <c r="I166" s="342">
        <v>2</v>
      </c>
      <c r="J166" s="90"/>
      <c r="K166" s="206"/>
      <c r="L166" s="93"/>
      <c r="M166" s="93"/>
      <c r="N166" s="351"/>
      <c r="O166" s="92"/>
      <c r="P166" s="355"/>
      <c r="Q166" s="355"/>
      <c r="R166" s="90"/>
      <c r="S166" s="352"/>
      <c r="T166" s="353"/>
      <c r="U166" s="355"/>
      <c r="V166" s="93"/>
      <c r="W166" s="355"/>
      <c r="X166" s="96">
        <f t="shared" si="5"/>
        <v>0</v>
      </c>
      <c r="Y166" s="97"/>
      <c r="Z166" s="98"/>
      <c r="AA166" s="314"/>
    </row>
    <row r="167" spans="1:27" s="99" customFormat="1" ht="27.75" customHeight="1">
      <c r="A167" s="114" t="s">
        <v>203</v>
      </c>
      <c r="B167" s="115">
        <v>21</v>
      </c>
      <c r="C167" s="114" t="s">
        <v>228</v>
      </c>
      <c r="D167" s="361"/>
      <c r="E167" s="361"/>
      <c r="F167" s="361"/>
      <c r="G167" s="361"/>
      <c r="H167" s="350">
        <v>1</v>
      </c>
      <c r="I167" s="342">
        <v>4</v>
      </c>
      <c r="J167" s="90"/>
      <c r="K167" s="206"/>
      <c r="L167" s="93"/>
      <c r="M167" s="93"/>
      <c r="N167" s="351"/>
      <c r="O167" s="92"/>
      <c r="P167" s="355"/>
      <c r="Q167" s="355"/>
      <c r="R167" s="90"/>
      <c r="S167" s="352"/>
      <c r="T167" s="353"/>
      <c r="U167" s="355"/>
      <c r="V167" s="93"/>
      <c r="W167" s="355"/>
      <c r="X167" s="96">
        <f t="shared" si="5"/>
        <v>0</v>
      </c>
      <c r="Y167" s="97"/>
      <c r="Z167" s="98"/>
      <c r="AA167" s="314"/>
    </row>
    <row r="168" spans="1:27" s="99" customFormat="1" ht="27.75" customHeight="1">
      <c r="A168" s="114" t="s">
        <v>203</v>
      </c>
      <c r="B168" s="115">
        <v>22</v>
      </c>
      <c r="C168" s="114" t="s">
        <v>229</v>
      </c>
      <c r="D168" s="361"/>
      <c r="E168" s="361"/>
      <c r="F168" s="361"/>
      <c r="G168" s="361"/>
      <c r="H168" s="350">
        <v>1</v>
      </c>
      <c r="I168" s="354">
        <v>4</v>
      </c>
      <c r="J168" s="90"/>
      <c r="K168" s="90"/>
      <c r="L168" s="90"/>
      <c r="M168" s="90"/>
      <c r="N168" s="351"/>
      <c r="O168" s="92"/>
      <c r="P168" s="355"/>
      <c r="Q168" s="355"/>
      <c r="R168" s="355"/>
      <c r="S168" s="352"/>
      <c r="T168" s="353"/>
      <c r="U168" s="206"/>
      <c r="V168" s="206"/>
      <c r="W168" s="206"/>
      <c r="X168" s="96">
        <f t="shared" si="5"/>
        <v>0</v>
      </c>
      <c r="Y168" s="97"/>
      <c r="Z168" s="98"/>
      <c r="AA168" s="314" t="s">
        <v>211</v>
      </c>
    </row>
    <row r="169" spans="1:27" s="99" customFormat="1" ht="27.75" customHeight="1">
      <c r="A169" s="114" t="s">
        <v>203</v>
      </c>
      <c r="B169" s="115">
        <v>23</v>
      </c>
      <c r="C169" s="114" t="s">
        <v>230</v>
      </c>
      <c r="D169" s="362"/>
      <c r="E169" s="363"/>
      <c r="F169" s="362"/>
      <c r="G169" s="363"/>
      <c r="H169" s="350">
        <v>1</v>
      </c>
      <c r="I169" s="354">
        <v>2.5</v>
      </c>
      <c r="J169" s="90"/>
      <c r="K169" s="90"/>
      <c r="L169" s="90"/>
      <c r="M169" s="90"/>
      <c r="N169" s="351"/>
      <c r="O169" s="92"/>
      <c r="P169" s="355"/>
      <c r="Q169" s="355"/>
      <c r="R169" s="355"/>
      <c r="S169" s="364"/>
      <c r="T169" s="353"/>
      <c r="U169" s="355"/>
      <c r="V169" s="355"/>
      <c r="W169" s="355"/>
      <c r="X169" s="96">
        <f t="shared" si="5"/>
        <v>0</v>
      </c>
      <c r="Y169" s="97"/>
      <c r="Z169" s="98"/>
      <c r="AA169" s="314" t="s">
        <v>211</v>
      </c>
    </row>
    <row r="170" spans="1:27" s="99" customFormat="1" ht="27.75" customHeight="1">
      <c r="A170" s="114" t="s">
        <v>203</v>
      </c>
      <c r="B170" s="115">
        <v>24</v>
      </c>
      <c r="C170" s="114" t="s">
        <v>231</v>
      </c>
      <c r="D170" s="359">
        <v>0.85</v>
      </c>
      <c r="E170" s="359">
        <v>1.14</v>
      </c>
      <c r="F170" s="359">
        <v>0.88</v>
      </c>
      <c r="G170" s="359">
        <v>1.19</v>
      </c>
      <c r="H170" s="350">
        <v>2</v>
      </c>
      <c r="I170" s="354">
        <v>6</v>
      </c>
      <c r="J170" s="90"/>
      <c r="K170" s="355"/>
      <c r="L170" s="355"/>
      <c r="M170" s="355"/>
      <c r="N170" s="351">
        <v>3</v>
      </c>
      <c r="O170" s="92">
        <v>8</v>
      </c>
      <c r="P170" s="90"/>
      <c r="Q170" s="354"/>
      <c r="R170" s="90"/>
      <c r="S170" s="352">
        <v>3</v>
      </c>
      <c r="T170" s="353">
        <v>6</v>
      </c>
      <c r="U170" s="93"/>
      <c r="V170" s="93"/>
      <c r="W170" s="93"/>
      <c r="X170" s="96">
        <f t="shared" si="5"/>
        <v>0</v>
      </c>
      <c r="Y170" s="124" t="s">
        <v>124</v>
      </c>
      <c r="Z170" s="98"/>
      <c r="AA170" s="314" t="s">
        <v>211</v>
      </c>
    </row>
    <row r="171" spans="1:27" s="99" customFormat="1" ht="27.75" customHeight="1">
      <c r="A171" s="114" t="s">
        <v>203</v>
      </c>
      <c r="B171" s="115"/>
      <c r="C171" s="114" t="s">
        <v>232</v>
      </c>
      <c r="D171" s="365"/>
      <c r="E171" s="365"/>
      <c r="F171" s="365"/>
      <c r="G171" s="365"/>
      <c r="H171" s="350"/>
      <c r="I171" s="354"/>
      <c r="J171" s="93"/>
      <c r="K171" s="93"/>
      <c r="L171" s="93"/>
      <c r="M171" s="93"/>
      <c r="N171" s="351"/>
      <c r="O171" s="92"/>
      <c r="P171" s="90"/>
      <c r="Q171" s="93"/>
      <c r="R171" s="90"/>
      <c r="S171" s="352"/>
      <c r="T171" s="353"/>
      <c r="U171" s="355"/>
      <c r="V171" s="206"/>
      <c r="W171" s="206"/>
      <c r="X171" s="96">
        <f t="shared" si="5"/>
        <v>0</v>
      </c>
      <c r="Y171" s="97"/>
      <c r="Z171" s="98"/>
      <c r="AA171" s="314" t="s">
        <v>211</v>
      </c>
    </row>
    <row r="172" spans="1:27" s="99" customFormat="1" ht="27.75" customHeight="1">
      <c r="A172" s="114" t="s">
        <v>203</v>
      </c>
      <c r="B172" s="115">
        <v>25</v>
      </c>
      <c r="C172" s="114" t="s">
        <v>233</v>
      </c>
      <c r="D172" s="366"/>
      <c r="E172" s="366"/>
      <c r="F172" s="366"/>
      <c r="G172" s="366"/>
      <c r="H172" s="350">
        <v>1</v>
      </c>
      <c r="I172" s="354">
        <v>3</v>
      </c>
      <c r="J172" s="90"/>
      <c r="K172" s="90"/>
      <c r="L172" s="90"/>
      <c r="M172" s="90"/>
      <c r="N172" s="351"/>
      <c r="O172" s="92"/>
      <c r="P172" s="90"/>
      <c r="Q172" s="355"/>
      <c r="R172" s="355"/>
      <c r="S172" s="352"/>
      <c r="T172" s="353"/>
      <c r="U172" s="206"/>
      <c r="V172" s="206"/>
      <c r="W172" s="206"/>
      <c r="X172" s="96">
        <f t="shared" si="5"/>
        <v>0</v>
      </c>
      <c r="Y172" s="97"/>
      <c r="Z172" s="98"/>
      <c r="AA172" s="314" t="s">
        <v>211</v>
      </c>
    </row>
    <row r="173" spans="1:38" s="99" customFormat="1" ht="27.75" customHeight="1">
      <c r="A173" s="114" t="s">
        <v>203</v>
      </c>
      <c r="B173" s="115"/>
      <c r="C173" s="114" t="s">
        <v>233</v>
      </c>
      <c r="D173" s="362"/>
      <c r="E173" s="363"/>
      <c r="F173" s="362"/>
      <c r="G173" s="363"/>
      <c r="H173" s="350"/>
      <c r="I173" s="354"/>
      <c r="J173" s="93"/>
      <c r="K173" s="93"/>
      <c r="L173" s="93"/>
      <c r="M173" s="355"/>
      <c r="N173" s="351"/>
      <c r="O173" s="92"/>
      <c r="P173" s="90"/>
      <c r="Q173" s="355"/>
      <c r="R173" s="355"/>
      <c r="S173" s="364"/>
      <c r="T173" s="353"/>
      <c r="U173" s="355"/>
      <c r="V173" s="206"/>
      <c r="W173" s="206"/>
      <c r="X173" s="96">
        <f t="shared" si="5"/>
        <v>0</v>
      </c>
      <c r="Y173" s="97"/>
      <c r="Z173" s="98"/>
      <c r="AA173" s="314" t="s">
        <v>211</v>
      </c>
      <c r="AB173" s="168"/>
      <c r="AC173" s="168"/>
      <c r="AD173" s="367"/>
      <c r="AE173" s="367"/>
      <c r="AF173" s="168"/>
      <c r="AG173" s="367"/>
      <c r="AI173" s="367"/>
      <c r="AK173" s="367"/>
      <c r="AL173" s="367"/>
    </row>
    <row r="174" spans="1:27" s="99" customFormat="1" ht="27.75" customHeight="1">
      <c r="A174" s="114" t="s">
        <v>203</v>
      </c>
      <c r="B174" s="115">
        <v>26</v>
      </c>
      <c r="C174" s="114" t="s">
        <v>234</v>
      </c>
      <c r="D174" s="349"/>
      <c r="E174" s="349"/>
      <c r="F174" s="349"/>
      <c r="G174" s="349"/>
      <c r="H174" s="350">
        <v>1</v>
      </c>
      <c r="I174" s="354">
        <v>3</v>
      </c>
      <c r="J174" s="90"/>
      <c r="K174" s="90"/>
      <c r="L174" s="90"/>
      <c r="M174" s="90"/>
      <c r="N174" s="351"/>
      <c r="O174" s="92"/>
      <c r="P174" s="90"/>
      <c r="Q174" s="355"/>
      <c r="R174" s="355"/>
      <c r="S174" s="352">
        <v>3</v>
      </c>
      <c r="T174" s="353">
        <v>1</v>
      </c>
      <c r="U174" s="93"/>
      <c r="V174" s="93"/>
      <c r="W174" s="93"/>
      <c r="X174" s="96">
        <f t="shared" si="5"/>
        <v>0</v>
      </c>
      <c r="Y174" s="97"/>
      <c r="Z174" s="98"/>
      <c r="AA174" s="314"/>
    </row>
    <row r="175" spans="1:27" s="99" customFormat="1" ht="27.75" customHeight="1">
      <c r="A175" s="114" t="s">
        <v>203</v>
      </c>
      <c r="B175" s="115"/>
      <c r="C175" s="114" t="s">
        <v>234</v>
      </c>
      <c r="D175" s="368"/>
      <c r="E175" s="368"/>
      <c r="F175" s="368"/>
      <c r="G175" s="368"/>
      <c r="H175" s="350"/>
      <c r="I175" s="354"/>
      <c r="J175" s="93"/>
      <c r="K175" s="93"/>
      <c r="L175" s="93"/>
      <c r="M175" s="355"/>
      <c r="N175" s="351"/>
      <c r="O175" s="92"/>
      <c r="P175" s="90"/>
      <c r="Q175" s="355"/>
      <c r="R175" s="355"/>
      <c r="S175" s="352"/>
      <c r="T175" s="353"/>
      <c r="U175" s="355"/>
      <c r="V175" s="206"/>
      <c r="W175" s="206"/>
      <c r="X175" s="96">
        <f t="shared" si="5"/>
        <v>0</v>
      </c>
      <c r="Y175" s="97"/>
      <c r="Z175" s="98"/>
      <c r="AA175" s="314" t="s">
        <v>211</v>
      </c>
    </row>
    <row r="176" spans="1:27" s="99" customFormat="1" ht="27.75" customHeight="1">
      <c r="A176" s="114" t="s">
        <v>203</v>
      </c>
      <c r="B176" s="115">
        <v>27</v>
      </c>
      <c r="C176" s="114" t="s">
        <v>235</v>
      </c>
      <c r="D176" s="349"/>
      <c r="E176" s="349"/>
      <c r="F176" s="349"/>
      <c r="G176" s="349"/>
      <c r="H176" s="350">
        <v>1</v>
      </c>
      <c r="I176" s="354">
        <v>3</v>
      </c>
      <c r="J176" s="90"/>
      <c r="K176" s="90"/>
      <c r="L176" s="90"/>
      <c r="M176" s="90"/>
      <c r="N176" s="351"/>
      <c r="O176" s="92"/>
      <c r="P176" s="90"/>
      <c r="Q176" s="355"/>
      <c r="R176" s="355"/>
      <c r="S176" s="352"/>
      <c r="T176" s="353"/>
      <c r="U176" s="355"/>
      <c r="V176" s="206"/>
      <c r="W176" s="206"/>
      <c r="X176" s="96">
        <f t="shared" si="5"/>
        <v>0</v>
      </c>
      <c r="Y176" s="97"/>
      <c r="Z176" s="98"/>
      <c r="AA176" s="314"/>
    </row>
    <row r="177" spans="1:27" s="99" customFormat="1" ht="27.75" customHeight="1">
      <c r="A177" s="114" t="s">
        <v>203</v>
      </c>
      <c r="B177" s="115">
        <v>28</v>
      </c>
      <c r="C177" s="114" t="s">
        <v>236</v>
      </c>
      <c r="D177" s="349">
        <v>0.83</v>
      </c>
      <c r="E177" s="349">
        <v>1.1199999999999999</v>
      </c>
      <c r="F177" s="349">
        <v>0.86</v>
      </c>
      <c r="G177" s="349">
        <v>1.17</v>
      </c>
      <c r="H177" s="350"/>
      <c r="I177" s="354">
        <v>6</v>
      </c>
      <c r="J177" s="90"/>
      <c r="K177" s="355"/>
      <c r="L177" s="355"/>
      <c r="M177" s="90"/>
      <c r="N177" s="351">
        <v>6</v>
      </c>
      <c r="O177" s="92">
        <v>6</v>
      </c>
      <c r="P177" s="90"/>
      <c r="Q177" s="369"/>
      <c r="R177" s="90"/>
      <c r="S177" s="352"/>
      <c r="T177" s="353"/>
      <c r="U177" s="355"/>
      <c r="V177" s="93"/>
      <c r="W177" s="206"/>
      <c r="X177" s="96">
        <f t="shared" si="5"/>
        <v>0</v>
      </c>
      <c r="Y177" s="97"/>
      <c r="Z177" s="98"/>
      <c r="AA177" s="314" t="s">
        <v>211</v>
      </c>
    </row>
    <row r="178" spans="1:27" s="99" customFormat="1" ht="27.75" customHeight="1">
      <c r="A178" s="114" t="s">
        <v>203</v>
      </c>
      <c r="B178" s="115"/>
      <c r="C178" s="114" t="s">
        <v>237</v>
      </c>
      <c r="D178" s="370"/>
      <c r="E178" s="370"/>
      <c r="F178" s="370"/>
      <c r="G178" s="370"/>
      <c r="H178" s="350">
        <v>1</v>
      </c>
      <c r="I178" s="354"/>
      <c r="J178" s="90"/>
      <c r="K178" s="355"/>
      <c r="L178" s="355"/>
      <c r="M178" s="355"/>
      <c r="N178" s="351"/>
      <c r="O178" s="92"/>
      <c r="P178" s="90"/>
      <c r="Q178" s="355"/>
      <c r="R178" s="355"/>
      <c r="S178" s="352"/>
      <c r="T178" s="353"/>
      <c r="U178" s="206"/>
      <c r="V178" s="206"/>
      <c r="W178" s="206"/>
      <c r="X178" s="96">
        <f t="shared" si="5"/>
        <v>0</v>
      </c>
      <c r="Y178" s="97"/>
      <c r="Z178" s="98"/>
      <c r="AA178" s="314"/>
    </row>
    <row r="179" spans="1:27" s="99" customFormat="1" ht="27.75" customHeight="1">
      <c r="A179" s="114" t="s">
        <v>203</v>
      </c>
      <c r="B179" s="115"/>
      <c r="C179" s="114" t="s">
        <v>238</v>
      </c>
      <c r="D179" s="370"/>
      <c r="E179" s="370"/>
      <c r="F179" s="370"/>
      <c r="G179" s="370"/>
      <c r="H179" s="350"/>
      <c r="I179" s="354"/>
      <c r="J179" s="206"/>
      <c r="K179" s="206"/>
      <c r="L179" s="93"/>
      <c r="M179" s="355"/>
      <c r="N179" s="351"/>
      <c r="O179" s="92"/>
      <c r="P179" s="90"/>
      <c r="Q179" s="355"/>
      <c r="R179" s="355"/>
      <c r="S179" s="352">
        <v>3</v>
      </c>
      <c r="T179" s="353">
        <v>4</v>
      </c>
      <c r="U179" s="90"/>
      <c r="V179" s="93"/>
      <c r="W179" s="355"/>
      <c r="X179" s="96">
        <f t="shared" si="5"/>
        <v>0</v>
      </c>
      <c r="Y179" s="97"/>
      <c r="Z179" s="98"/>
      <c r="AA179" s="314" t="s">
        <v>211</v>
      </c>
    </row>
    <row r="180" spans="1:27" s="99" customFormat="1" ht="27.75" customHeight="1">
      <c r="A180" s="114" t="s">
        <v>203</v>
      </c>
      <c r="B180" s="115">
        <v>29</v>
      </c>
      <c r="C180" s="114" t="s">
        <v>239</v>
      </c>
      <c r="D180" s="371"/>
      <c r="E180" s="371"/>
      <c r="F180" s="371"/>
      <c r="G180" s="371"/>
      <c r="H180" s="350"/>
      <c r="I180" s="354"/>
      <c r="J180" s="206"/>
      <c r="K180" s="206"/>
      <c r="L180" s="93"/>
      <c r="M180" s="355"/>
      <c r="N180" s="351"/>
      <c r="O180" s="92" t="s">
        <v>0</v>
      </c>
      <c r="P180" s="90"/>
      <c r="Q180" s="355"/>
      <c r="R180" s="355"/>
      <c r="S180" s="352">
        <v>3</v>
      </c>
      <c r="T180" s="353">
        <v>2</v>
      </c>
      <c r="U180" s="93"/>
      <c r="V180" s="93"/>
      <c r="W180" s="93"/>
      <c r="X180" s="96">
        <f t="shared" si="5"/>
        <v>0</v>
      </c>
      <c r="Y180" s="372"/>
      <c r="Z180" s="98"/>
      <c r="AA180" s="314" t="s">
        <v>211</v>
      </c>
    </row>
    <row r="181" spans="1:27" s="99" customFormat="1" ht="27.75" customHeight="1">
      <c r="A181" s="114" t="s">
        <v>240</v>
      </c>
      <c r="B181" s="115">
        <v>1</v>
      </c>
      <c r="C181" s="114" t="s">
        <v>241</v>
      </c>
      <c r="D181" s="371">
        <v>0.87</v>
      </c>
      <c r="E181" s="371">
        <v>0.83</v>
      </c>
      <c r="F181" s="371"/>
      <c r="G181" s="371"/>
      <c r="H181" s="350">
        <v>1</v>
      </c>
      <c r="I181" s="354">
        <v>1</v>
      </c>
      <c r="J181" s="206"/>
      <c r="K181" s="206"/>
      <c r="L181" s="206"/>
      <c r="M181" s="206"/>
      <c r="N181" s="91"/>
      <c r="O181" s="92">
        <v>2</v>
      </c>
      <c r="P181" s="90"/>
      <c r="Q181" s="93"/>
      <c r="R181" s="355"/>
      <c r="S181" s="167"/>
      <c r="T181" s="373"/>
      <c r="U181" s="93"/>
      <c r="V181" s="93"/>
      <c r="W181" s="93"/>
      <c r="X181" s="96">
        <f t="shared" si="5"/>
        <v>0</v>
      </c>
      <c r="Y181" s="97"/>
      <c r="Z181" s="98"/>
      <c r="AA181" s="314"/>
    </row>
    <row r="182" spans="1:27" s="99" customFormat="1" ht="27.75" customHeight="1">
      <c r="A182" s="114" t="s">
        <v>240</v>
      </c>
      <c r="B182" s="115">
        <v>2</v>
      </c>
      <c r="C182" s="114" t="s">
        <v>242</v>
      </c>
      <c r="D182" s="371">
        <v>0.86</v>
      </c>
      <c r="E182" s="371">
        <v>0.82</v>
      </c>
      <c r="F182" s="371"/>
      <c r="G182" s="371"/>
      <c r="H182" s="350">
        <v>1</v>
      </c>
      <c r="I182" s="354">
        <v>1</v>
      </c>
      <c r="J182" s="206"/>
      <c r="K182" s="206"/>
      <c r="L182" s="206"/>
      <c r="M182" s="206"/>
      <c r="N182" s="91"/>
      <c r="O182" s="92">
        <v>2</v>
      </c>
      <c r="P182" s="90"/>
      <c r="Q182" s="93"/>
      <c r="R182" s="355"/>
      <c r="S182" s="167"/>
      <c r="T182" s="373"/>
      <c r="U182" s="93"/>
      <c r="V182" s="93"/>
      <c r="W182" s="93"/>
      <c r="X182" s="96">
        <f t="shared" si="5"/>
        <v>0</v>
      </c>
      <c r="Y182" s="97"/>
      <c r="Z182" s="98"/>
      <c r="AA182" s="314"/>
    </row>
    <row r="183" spans="1:27" s="99" customFormat="1" ht="27.75" customHeight="1">
      <c r="A183" s="114" t="s">
        <v>240</v>
      </c>
      <c r="B183" s="115">
        <v>3</v>
      </c>
      <c r="C183" s="114" t="s">
        <v>243</v>
      </c>
      <c r="D183" s="371">
        <v>0.85</v>
      </c>
      <c r="E183" s="371">
        <v>0.81</v>
      </c>
      <c r="F183" s="371"/>
      <c r="G183" s="371"/>
      <c r="H183" s="350">
        <v>1</v>
      </c>
      <c r="I183" s="354">
        <v>1</v>
      </c>
      <c r="J183" s="206"/>
      <c r="K183" s="206"/>
      <c r="L183" s="206"/>
      <c r="M183" s="206"/>
      <c r="N183" s="91"/>
      <c r="O183" s="92">
        <v>2</v>
      </c>
      <c r="P183" s="90"/>
      <c r="Q183" s="93"/>
      <c r="R183" s="355"/>
      <c r="S183" s="167"/>
      <c r="T183" s="373"/>
      <c r="U183" s="93"/>
      <c r="V183" s="93"/>
      <c r="W183" s="93"/>
      <c r="X183" s="96">
        <f t="shared" si="5"/>
        <v>0</v>
      </c>
      <c r="Y183" s="97"/>
      <c r="Z183" s="98"/>
      <c r="AA183" s="314"/>
    </row>
    <row r="184" spans="1:51" s="99" customFormat="1" ht="27.75" customHeight="1">
      <c r="A184" s="114" t="s">
        <v>240</v>
      </c>
      <c r="B184" s="115">
        <v>4</v>
      </c>
      <c r="C184" s="114" t="s">
        <v>244</v>
      </c>
      <c r="D184" s="371">
        <v>0.83</v>
      </c>
      <c r="E184" s="371">
        <v>0.79</v>
      </c>
      <c r="F184" s="371"/>
      <c r="G184" s="371"/>
      <c r="H184" s="350">
        <v>1</v>
      </c>
      <c r="I184" s="354">
        <v>1</v>
      </c>
      <c r="J184" s="206"/>
      <c r="K184" s="206"/>
      <c r="L184" s="206"/>
      <c r="M184" s="206"/>
      <c r="N184" s="91"/>
      <c r="O184" s="92">
        <v>2</v>
      </c>
      <c r="P184" s="90"/>
      <c r="Q184" s="93"/>
      <c r="R184" s="355"/>
      <c r="S184" s="352">
        <v>3</v>
      </c>
      <c r="T184" s="353">
        <v>2</v>
      </c>
      <c r="U184" s="206"/>
      <c r="V184" s="206"/>
      <c r="W184" s="206"/>
      <c r="X184" s="96">
        <f t="shared" si="5"/>
        <v>0</v>
      </c>
      <c r="Y184" s="97"/>
      <c r="Z184" s="98"/>
      <c r="AA184" s="314" t="s">
        <v>245</v>
      </c>
      <c r="AB184" s="211"/>
      <c r="AC184" s="211"/>
      <c r="AD184" s="374"/>
      <c r="AE184" s="374"/>
      <c r="AF184" s="374"/>
      <c r="AG184" s="375"/>
      <c r="AH184" s="374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</row>
    <row r="185" spans="1:27" s="99" customFormat="1" ht="27.75" customHeight="1">
      <c r="A185" s="114" t="s">
        <v>240</v>
      </c>
      <c r="B185" s="115">
        <v>5</v>
      </c>
      <c r="C185" s="114" t="s">
        <v>246</v>
      </c>
      <c r="D185" s="371">
        <v>0.81</v>
      </c>
      <c r="E185" s="371">
        <v>0.77</v>
      </c>
      <c r="F185" s="371"/>
      <c r="G185" s="371"/>
      <c r="H185" s="350">
        <v>2</v>
      </c>
      <c r="I185" s="354">
        <v>1</v>
      </c>
      <c r="J185" s="206"/>
      <c r="K185" s="206"/>
      <c r="L185" s="206"/>
      <c r="M185" s="206"/>
      <c r="N185" s="376"/>
      <c r="O185" s="92">
        <v>4</v>
      </c>
      <c r="P185" s="90"/>
      <c r="Q185" s="93"/>
      <c r="R185" s="355"/>
      <c r="S185" s="352">
        <v>3</v>
      </c>
      <c r="T185" s="353">
        <v>3</v>
      </c>
      <c r="U185" s="206"/>
      <c r="V185" s="206"/>
      <c r="W185" s="206"/>
      <c r="X185" s="96">
        <f t="shared" si="5"/>
        <v>0</v>
      </c>
      <c r="Y185" s="97"/>
      <c r="Z185" s="98"/>
      <c r="AA185" s="314" t="s">
        <v>245</v>
      </c>
    </row>
    <row r="186" spans="1:27" s="99" customFormat="1" ht="27.75" customHeight="1">
      <c r="A186" s="114" t="s">
        <v>240</v>
      </c>
      <c r="B186" s="115">
        <v>6</v>
      </c>
      <c r="C186" s="114" t="s">
        <v>247</v>
      </c>
      <c r="D186" s="371">
        <v>0.79</v>
      </c>
      <c r="E186" s="371">
        <v>0.75</v>
      </c>
      <c r="F186" s="371"/>
      <c r="G186" s="371"/>
      <c r="H186" s="350">
        <v>1</v>
      </c>
      <c r="I186" s="354">
        <v>1</v>
      </c>
      <c r="J186" s="206"/>
      <c r="K186" s="206"/>
      <c r="L186" s="206"/>
      <c r="M186" s="206"/>
      <c r="N186" s="91"/>
      <c r="O186" s="92">
        <v>4</v>
      </c>
      <c r="P186" s="90"/>
      <c r="Q186" s="93"/>
      <c r="R186" s="355"/>
      <c r="S186" s="352">
        <v>3</v>
      </c>
      <c r="T186" s="353">
        <v>2</v>
      </c>
      <c r="U186" s="206"/>
      <c r="V186" s="206"/>
      <c r="W186" s="206"/>
      <c r="X186" s="96">
        <f aca="true" t="shared" si="6" ref="X186:X207">M186+R186+W186</f>
        <v>0</v>
      </c>
      <c r="Y186" s="97"/>
      <c r="Z186" s="98"/>
      <c r="AA186" s="314" t="s">
        <v>245</v>
      </c>
    </row>
    <row r="187" spans="1:27" s="99" customFormat="1" ht="27.75" customHeight="1">
      <c r="A187" s="114" t="s">
        <v>240</v>
      </c>
      <c r="B187" s="115">
        <v>7</v>
      </c>
      <c r="C187" s="114" t="s">
        <v>248</v>
      </c>
      <c r="D187" s="371">
        <v>0.77</v>
      </c>
      <c r="E187" s="371">
        <v>0.73</v>
      </c>
      <c r="F187" s="371"/>
      <c r="G187" s="371"/>
      <c r="H187" s="350">
        <v>1</v>
      </c>
      <c r="I187" s="354">
        <v>1</v>
      </c>
      <c r="J187" s="206"/>
      <c r="K187" s="206"/>
      <c r="L187" s="206"/>
      <c r="M187" s="206"/>
      <c r="N187" s="91"/>
      <c r="O187" s="92">
        <v>2</v>
      </c>
      <c r="P187" s="90"/>
      <c r="Q187" s="93"/>
      <c r="R187" s="355"/>
      <c r="S187" s="352">
        <v>3</v>
      </c>
      <c r="T187" s="353">
        <v>2</v>
      </c>
      <c r="U187" s="206"/>
      <c r="V187" s="206"/>
      <c r="W187" s="206"/>
      <c r="X187" s="96">
        <f t="shared" si="6"/>
        <v>0</v>
      </c>
      <c r="Y187" s="97"/>
      <c r="Z187" s="98"/>
      <c r="AA187" s="314" t="s">
        <v>245</v>
      </c>
    </row>
    <row r="188" spans="1:27" s="99" customFormat="1" ht="27.75" customHeight="1">
      <c r="A188" s="114" t="s">
        <v>240</v>
      </c>
      <c r="B188" s="115">
        <v>8</v>
      </c>
      <c r="C188" s="114" t="s">
        <v>249</v>
      </c>
      <c r="D188" s="371">
        <v>0.75</v>
      </c>
      <c r="E188" s="371">
        <v>0.71</v>
      </c>
      <c r="F188" s="371"/>
      <c r="G188" s="371"/>
      <c r="H188" s="350">
        <v>1</v>
      </c>
      <c r="I188" s="354">
        <v>1</v>
      </c>
      <c r="J188" s="206"/>
      <c r="K188" s="206"/>
      <c r="L188" s="206"/>
      <c r="M188" s="206"/>
      <c r="N188" s="91"/>
      <c r="O188" s="92">
        <v>4</v>
      </c>
      <c r="P188" s="90"/>
      <c r="Q188" s="93"/>
      <c r="R188" s="355"/>
      <c r="S188" s="352">
        <v>3</v>
      </c>
      <c r="T188" s="353">
        <v>2</v>
      </c>
      <c r="U188" s="206"/>
      <c r="V188" s="206"/>
      <c r="W188" s="206"/>
      <c r="X188" s="96">
        <f t="shared" si="6"/>
        <v>0</v>
      </c>
      <c r="Y188" s="97"/>
      <c r="Z188" s="98"/>
      <c r="AA188" s="314" t="s">
        <v>245</v>
      </c>
    </row>
    <row r="189" spans="1:27" s="99" customFormat="1" ht="27.75" customHeight="1">
      <c r="A189" s="114" t="s">
        <v>240</v>
      </c>
      <c r="B189" s="115">
        <v>9</v>
      </c>
      <c r="C189" s="114" t="s">
        <v>250</v>
      </c>
      <c r="D189" s="371">
        <v>0.73</v>
      </c>
      <c r="E189" s="371">
        <v>0.69</v>
      </c>
      <c r="F189" s="371"/>
      <c r="G189" s="371"/>
      <c r="H189" s="350">
        <v>1</v>
      </c>
      <c r="I189" s="354">
        <v>1</v>
      </c>
      <c r="J189" s="206"/>
      <c r="K189" s="206"/>
      <c r="L189" s="206"/>
      <c r="M189" s="206"/>
      <c r="N189" s="91"/>
      <c r="O189" s="92">
        <v>2</v>
      </c>
      <c r="P189" s="90"/>
      <c r="Q189" s="93"/>
      <c r="R189" s="355"/>
      <c r="S189" s="352">
        <v>3</v>
      </c>
      <c r="T189" s="353">
        <v>1</v>
      </c>
      <c r="U189" s="206"/>
      <c r="V189" s="206"/>
      <c r="W189" s="206"/>
      <c r="X189" s="96">
        <f t="shared" si="6"/>
        <v>0</v>
      </c>
      <c r="Y189" s="97"/>
      <c r="Z189" s="98"/>
      <c r="AA189" s="314" t="s">
        <v>245</v>
      </c>
    </row>
    <row r="190" spans="1:27" s="99" customFormat="1" ht="27.75" customHeight="1">
      <c r="A190" s="114" t="s">
        <v>240</v>
      </c>
      <c r="B190" s="115">
        <v>10</v>
      </c>
      <c r="C190" s="114" t="s">
        <v>251</v>
      </c>
      <c r="D190" s="371">
        <v>0.71</v>
      </c>
      <c r="E190" s="371">
        <v>0.67</v>
      </c>
      <c r="F190" s="371"/>
      <c r="G190" s="371"/>
      <c r="H190" s="350">
        <v>1</v>
      </c>
      <c r="I190" s="354">
        <v>1</v>
      </c>
      <c r="J190" s="206"/>
      <c r="K190" s="206"/>
      <c r="L190" s="206"/>
      <c r="M190" s="206"/>
      <c r="N190" s="91"/>
      <c r="O190" s="92">
        <v>2</v>
      </c>
      <c r="P190" s="90"/>
      <c r="Q190" s="93"/>
      <c r="R190" s="355"/>
      <c r="S190" s="167"/>
      <c r="T190" s="373"/>
      <c r="U190" s="206"/>
      <c r="V190" s="206"/>
      <c r="W190" s="206"/>
      <c r="X190" s="96">
        <f t="shared" si="6"/>
        <v>0</v>
      </c>
      <c r="Y190" s="97"/>
      <c r="Z190" s="98"/>
      <c r="AA190" s="314" t="s">
        <v>245</v>
      </c>
    </row>
    <row r="191" spans="1:51" s="99" customFormat="1" ht="27.75" customHeight="1">
      <c r="A191" s="114" t="s">
        <v>240</v>
      </c>
      <c r="B191" s="115">
        <v>11</v>
      </c>
      <c r="C191" s="114" t="s">
        <v>252</v>
      </c>
      <c r="D191" s="371">
        <v>0.69</v>
      </c>
      <c r="E191" s="371">
        <v>0.65</v>
      </c>
      <c r="F191" s="371"/>
      <c r="G191" s="371"/>
      <c r="H191" s="350">
        <v>1</v>
      </c>
      <c r="I191" s="354">
        <v>1</v>
      </c>
      <c r="J191" s="206"/>
      <c r="K191" s="206"/>
      <c r="L191" s="206"/>
      <c r="M191" s="206"/>
      <c r="N191" s="91"/>
      <c r="O191" s="92">
        <v>2</v>
      </c>
      <c r="P191" s="90"/>
      <c r="Q191" s="93"/>
      <c r="R191" s="355"/>
      <c r="S191" s="167"/>
      <c r="T191" s="373"/>
      <c r="U191" s="206"/>
      <c r="V191" s="206"/>
      <c r="W191" s="206"/>
      <c r="X191" s="96">
        <f t="shared" si="6"/>
        <v>0</v>
      </c>
      <c r="Y191" s="97"/>
      <c r="Z191" s="98"/>
      <c r="AA191" s="314" t="s">
        <v>245</v>
      </c>
      <c r="AB191" s="211"/>
      <c r="AC191" s="211"/>
      <c r="AD191" s="374"/>
      <c r="AE191" s="374"/>
      <c r="AF191" s="374"/>
      <c r="AG191" s="375"/>
      <c r="AH191" s="374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</row>
    <row r="192" spans="1:27" s="99" customFormat="1" ht="27.75" customHeight="1">
      <c r="A192" s="114" t="s">
        <v>240</v>
      </c>
      <c r="B192" s="115">
        <v>12</v>
      </c>
      <c r="C192" s="114" t="s">
        <v>253</v>
      </c>
      <c r="D192" s="371">
        <v>0.67</v>
      </c>
      <c r="E192" s="371">
        <v>0.63</v>
      </c>
      <c r="F192" s="371"/>
      <c r="G192" s="371"/>
      <c r="H192" s="350">
        <v>1</v>
      </c>
      <c r="I192" s="354">
        <v>1</v>
      </c>
      <c r="J192" s="206"/>
      <c r="K192" s="206"/>
      <c r="L192" s="206"/>
      <c r="M192" s="206"/>
      <c r="N192" s="91"/>
      <c r="O192" s="92">
        <v>4</v>
      </c>
      <c r="P192" s="90"/>
      <c r="Q192" s="93"/>
      <c r="R192" s="355"/>
      <c r="S192" s="352">
        <v>3</v>
      </c>
      <c r="T192" s="353">
        <v>1</v>
      </c>
      <c r="U192" s="206"/>
      <c r="V192" s="206"/>
      <c r="W192" s="206"/>
      <c r="X192" s="96">
        <f t="shared" si="6"/>
        <v>0</v>
      </c>
      <c r="Y192" s="97"/>
      <c r="Z192" s="98"/>
      <c r="AA192" s="314" t="s">
        <v>245</v>
      </c>
    </row>
    <row r="193" spans="1:27" s="99" customFormat="1" ht="27.75" customHeight="1">
      <c r="A193" s="114" t="s">
        <v>240</v>
      </c>
      <c r="B193" s="115">
        <v>13</v>
      </c>
      <c r="C193" s="114" t="s">
        <v>254</v>
      </c>
      <c r="D193" s="371">
        <v>0.65</v>
      </c>
      <c r="E193" s="371">
        <v>0.61</v>
      </c>
      <c r="F193" s="371"/>
      <c r="G193" s="371"/>
      <c r="H193" s="350">
        <v>3</v>
      </c>
      <c r="I193" s="354">
        <v>1</v>
      </c>
      <c r="J193" s="206"/>
      <c r="K193" s="206"/>
      <c r="L193" s="206"/>
      <c r="M193" s="206"/>
      <c r="N193" s="91"/>
      <c r="O193" s="92">
        <v>3</v>
      </c>
      <c r="P193" s="90"/>
      <c r="Q193" s="93"/>
      <c r="R193" s="355"/>
      <c r="S193" s="167"/>
      <c r="T193" s="373"/>
      <c r="U193" s="206"/>
      <c r="V193" s="206"/>
      <c r="W193" s="206"/>
      <c r="X193" s="96">
        <f t="shared" si="6"/>
        <v>0</v>
      </c>
      <c r="Y193" s="97"/>
      <c r="Z193" s="98"/>
      <c r="AA193" s="314" t="s">
        <v>245</v>
      </c>
    </row>
    <row r="194" spans="1:27" s="99" customFormat="1" ht="27.75" customHeight="1">
      <c r="A194" s="114" t="s">
        <v>240</v>
      </c>
      <c r="B194" s="115">
        <v>14</v>
      </c>
      <c r="C194" s="114" t="s">
        <v>255</v>
      </c>
      <c r="D194" s="371">
        <v>0.63</v>
      </c>
      <c r="E194" s="371">
        <v>0.59</v>
      </c>
      <c r="F194" s="371"/>
      <c r="G194" s="371"/>
      <c r="H194" s="350">
        <v>1</v>
      </c>
      <c r="I194" s="354">
        <v>1</v>
      </c>
      <c r="J194" s="206"/>
      <c r="K194" s="206"/>
      <c r="L194" s="206"/>
      <c r="M194" s="206"/>
      <c r="N194" s="91"/>
      <c r="O194" s="92">
        <v>2</v>
      </c>
      <c r="P194" s="90"/>
      <c r="Q194" s="93"/>
      <c r="R194" s="355"/>
      <c r="S194" s="167"/>
      <c r="T194" s="373"/>
      <c r="U194" s="206"/>
      <c r="V194" s="206"/>
      <c r="W194" s="206"/>
      <c r="X194" s="96">
        <f t="shared" si="6"/>
        <v>0</v>
      </c>
      <c r="Y194" s="97"/>
      <c r="Z194" s="98"/>
      <c r="AA194" s="314" t="s">
        <v>245</v>
      </c>
    </row>
    <row r="195" spans="1:51" s="211" customFormat="1" ht="27.75" customHeight="1">
      <c r="A195" s="114" t="s">
        <v>240</v>
      </c>
      <c r="B195" s="115">
        <v>15</v>
      </c>
      <c r="C195" s="114" t="s">
        <v>256</v>
      </c>
      <c r="D195" s="371">
        <v>0</v>
      </c>
      <c r="E195" s="371">
        <v>0</v>
      </c>
      <c r="F195" s="371"/>
      <c r="G195" s="371"/>
      <c r="H195" s="350">
        <v>1</v>
      </c>
      <c r="I195" s="354"/>
      <c r="J195" s="206"/>
      <c r="K195" s="206"/>
      <c r="L195" s="206"/>
      <c r="M195" s="206"/>
      <c r="N195" s="91"/>
      <c r="O195" s="92">
        <v>2</v>
      </c>
      <c r="P195" s="90"/>
      <c r="Q195" s="93"/>
      <c r="R195" s="355"/>
      <c r="S195" s="167"/>
      <c r="T195" s="373"/>
      <c r="U195" s="206"/>
      <c r="V195" s="206"/>
      <c r="W195" s="206"/>
      <c r="X195" s="96">
        <f t="shared" si="6"/>
        <v>0</v>
      </c>
      <c r="Y195" s="97"/>
      <c r="Z195" s="217"/>
      <c r="AA195" s="207" t="s">
        <v>245</v>
      </c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</row>
    <row r="196" spans="1:27" s="99" customFormat="1" ht="27.75" customHeight="1">
      <c r="A196" s="114" t="s">
        <v>240</v>
      </c>
      <c r="B196" s="115">
        <v>16</v>
      </c>
      <c r="C196" s="114" t="s">
        <v>257</v>
      </c>
      <c r="D196" s="371">
        <v>0</v>
      </c>
      <c r="E196" s="371">
        <v>0</v>
      </c>
      <c r="F196" s="371"/>
      <c r="G196" s="371"/>
      <c r="H196" s="350">
        <v>1</v>
      </c>
      <c r="I196" s="354"/>
      <c r="J196" s="206"/>
      <c r="K196" s="206"/>
      <c r="L196" s="206"/>
      <c r="M196" s="206"/>
      <c r="N196" s="91"/>
      <c r="O196" s="92">
        <v>2</v>
      </c>
      <c r="P196" s="90"/>
      <c r="Q196" s="93"/>
      <c r="R196" s="355"/>
      <c r="S196" s="167"/>
      <c r="T196" s="373"/>
      <c r="U196" s="206"/>
      <c r="V196" s="206"/>
      <c r="W196" s="206"/>
      <c r="X196" s="96">
        <f t="shared" si="6"/>
        <v>0</v>
      </c>
      <c r="Y196" s="97"/>
      <c r="Z196" s="98"/>
      <c r="AA196" s="314" t="s">
        <v>245</v>
      </c>
    </row>
    <row r="197" spans="1:27" s="99" customFormat="1" ht="27.75" customHeight="1">
      <c r="A197" s="114" t="s">
        <v>240</v>
      </c>
      <c r="B197" s="115">
        <v>17</v>
      </c>
      <c r="C197" s="114" t="s">
        <v>258</v>
      </c>
      <c r="D197" s="371">
        <v>0</v>
      </c>
      <c r="E197" s="371">
        <v>0</v>
      </c>
      <c r="F197" s="371"/>
      <c r="G197" s="371"/>
      <c r="H197" s="350">
        <v>1</v>
      </c>
      <c r="I197" s="354"/>
      <c r="J197" s="206"/>
      <c r="K197" s="206"/>
      <c r="L197" s="206"/>
      <c r="M197" s="206"/>
      <c r="N197" s="91"/>
      <c r="O197" s="92">
        <v>2</v>
      </c>
      <c r="P197" s="90"/>
      <c r="Q197" s="206"/>
      <c r="R197" s="355"/>
      <c r="S197" s="167"/>
      <c r="T197" s="373"/>
      <c r="U197" s="206"/>
      <c r="V197" s="206"/>
      <c r="W197" s="206"/>
      <c r="X197" s="96">
        <f t="shared" si="6"/>
        <v>0</v>
      </c>
      <c r="Y197" s="97"/>
      <c r="Z197" s="98"/>
      <c r="AA197" s="314" t="s">
        <v>245</v>
      </c>
    </row>
    <row r="198" spans="1:27" s="99" customFormat="1" ht="27.75" customHeight="1">
      <c r="A198" s="114" t="s">
        <v>240</v>
      </c>
      <c r="B198" s="115">
        <v>18</v>
      </c>
      <c r="C198" s="114" t="s">
        <v>259</v>
      </c>
      <c r="D198" s="377">
        <v>1.15</v>
      </c>
      <c r="E198" s="377">
        <v>1.15</v>
      </c>
      <c r="F198" s="377"/>
      <c r="G198" s="377"/>
      <c r="H198" s="350">
        <v>1</v>
      </c>
      <c r="I198" s="354">
        <v>1</v>
      </c>
      <c r="J198" s="369">
        <v>6</v>
      </c>
      <c r="K198" s="369"/>
      <c r="L198" s="369"/>
      <c r="M198" s="206"/>
      <c r="N198" s="91"/>
      <c r="O198" s="92">
        <v>2</v>
      </c>
      <c r="P198" s="90"/>
      <c r="Q198" s="206"/>
      <c r="R198" s="355"/>
      <c r="S198" s="352">
        <v>3</v>
      </c>
      <c r="T198" s="353">
        <v>2</v>
      </c>
      <c r="U198" s="206"/>
      <c r="V198" s="206"/>
      <c r="W198" s="206"/>
      <c r="X198" s="96">
        <f t="shared" si="6"/>
        <v>0</v>
      </c>
      <c r="Y198" s="97"/>
      <c r="Z198" s="98"/>
      <c r="AA198" s="314" t="s">
        <v>245</v>
      </c>
    </row>
    <row r="199" spans="1:27" s="99" customFormat="1" ht="27.75" customHeight="1">
      <c r="A199" s="114" t="s">
        <v>240</v>
      </c>
      <c r="B199" s="115">
        <v>19</v>
      </c>
      <c r="C199" s="114" t="s">
        <v>260</v>
      </c>
      <c r="D199" s="371"/>
      <c r="E199" s="371"/>
      <c r="F199" s="371"/>
      <c r="G199" s="371"/>
      <c r="H199" s="350">
        <v>1</v>
      </c>
      <c r="I199" s="354"/>
      <c r="J199" s="378"/>
      <c r="K199" s="378"/>
      <c r="L199" s="378"/>
      <c r="M199" s="206"/>
      <c r="N199" s="91"/>
      <c r="O199" s="92">
        <v>2</v>
      </c>
      <c r="P199" s="378"/>
      <c r="Q199" s="378"/>
      <c r="R199" s="378"/>
      <c r="S199" s="352">
        <v>3</v>
      </c>
      <c r="T199" s="353">
        <v>2</v>
      </c>
      <c r="U199" s="378"/>
      <c r="V199" s="378"/>
      <c r="W199" s="378"/>
      <c r="X199" s="96">
        <f t="shared" si="6"/>
        <v>0</v>
      </c>
      <c r="Y199" s="379"/>
      <c r="Z199" s="98"/>
      <c r="AA199" s="314" t="s">
        <v>245</v>
      </c>
    </row>
    <row r="200" spans="1:27" s="99" customFormat="1" ht="27.75" customHeight="1">
      <c r="A200" s="114" t="s">
        <v>240</v>
      </c>
      <c r="B200" s="115">
        <v>20</v>
      </c>
      <c r="C200" s="114" t="s">
        <v>262</v>
      </c>
      <c r="D200" s="371">
        <v>1</v>
      </c>
      <c r="E200" s="371">
        <v>0.9</v>
      </c>
      <c r="F200" s="371"/>
      <c r="G200" s="371"/>
      <c r="H200" s="350">
        <v>1</v>
      </c>
      <c r="I200" s="354">
        <v>1</v>
      </c>
      <c r="J200" s="369">
        <v>6</v>
      </c>
      <c r="K200" s="369"/>
      <c r="L200" s="369"/>
      <c r="M200" s="206"/>
      <c r="N200" s="91"/>
      <c r="O200" s="92">
        <v>2</v>
      </c>
      <c r="P200" s="90"/>
      <c r="Q200" s="206"/>
      <c r="R200" s="355"/>
      <c r="S200" s="167"/>
      <c r="T200" s="373"/>
      <c r="U200" s="206"/>
      <c r="V200" s="206"/>
      <c r="W200" s="206"/>
      <c r="X200" s="96">
        <f t="shared" si="6"/>
        <v>0</v>
      </c>
      <c r="Y200" s="97"/>
      <c r="Z200" s="98"/>
      <c r="AA200" s="314" t="s">
        <v>245</v>
      </c>
    </row>
    <row r="201" spans="1:27" s="99" customFormat="1" ht="27.75" customHeight="1">
      <c r="A201" s="114" t="s">
        <v>240</v>
      </c>
      <c r="B201" s="115">
        <v>21</v>
      </c>
      <c r="C201" s="114" t="s">
        <v>263</v>
      </c>
      <c r="D201" s="380">
        <v>0.6</v>
      </c>
      <c r="E201" s="380">
        <v>0.97</v>
      </c>
      <c r="F201" s="380"/>
      <c r="G201" s="380"/>
      <c r="H201" s="350">
        <v>1</v>
      </c>
      <c r="I201" s="354"/>
      <c r="J201" s="369"/>
      <c r="K201" s="369"/>
      <c r="L201" s="369"/>
      <c r="M201" s="206"/>
      <c r="N201" s="351"/>
      <c r="O201" s="92">
        <v>2</v>
      </c>
      <c r="P201" s="90"/>
      <c r="Q201" s="206"/>
      <c r="R201" s="355"/>
      <c r="S201" s="352">
        <v>3</v>
      </c>
      <c r="T201" s="353">
        <v>1</v>
      </c>
      <c r="U201" s="206"/>
      <c r="V201" s="206"/>
      <c r="W201" s="206"/>
      <c r="X201" s="96">
        <f t="shared" si="6"/>
        <v>0</v>
      </c>
      <c r="Y201" s="97"/>
      <c r="Z201" s="98"/>
      <c r="AA201" s="314" t="s">
        <v>245</v>
      </c>
    </row>
    <row r="202" spans="1:51" s="211" customFormat="1" ht="27.75" customHeight="1">
      <c r="A202" s="114" t="s">
        <v>240</v>
      </c>
      <c r="B202" s="115">
        <v>22</v>
      </c>
      <c r="C202" s="114" t="s">
        <v>264</v>
      </c>
      <c r="D202" s="371">
        <v>0.6</v>
      </c>
      <c r="E202" s="371">
        <v>1.03</v>
      </c>
      <c r="F202" s="371"/>
      <c r="G202" s="371"/>
      <c r="H202" s="350">
        <v>1</v>
      </c>
      <c r="I202" s="354"/>
      <c r="J202" s="369"/>
      <c r="K202" s="369"/>
      <c r="L202" s="369"/>
      <c r="M202" s="206"/>
      <c r="N202" s="351"/>
      <c r="O202" s="92">
        <v>6</v>
      </c>
      <c r="P202" s="90"/>
      <c r="Q202" s="206"/>
      <c r="R202" s="355"/>
      <c r="S202" s="352">
        <v>3</v>
      </c>
      <c r="T202" s="353">
        <v>8</v>
      </c>
      <c r="U202" s="206"/>
      <c r="V202" s="206"/>
      <c r="W202" s="206"/>
      <c r="X202" s="96">
        <f t="shared" si="6"/>
        <v>0</v>
      </c>
      <c r="Y202" s="97"/>
      <c r="Z202" s="217"/>
      <c r="AA202" s="207" t="s">
        <v>245</v>
      </c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</row>
    <row r="203" spans="1:27" s="99" customFormat="1" ht="27.75" customHeight="1">
      <c r="A203" s="114" t="s">
        <v>240</v>
      </c>
      <c r="B203" s="115">
        <v>23</v>
      </c>
      <c r="C203" s="114" t="s">
        <v>265</v>
      </c>
      <c r="D203" s="371">
        <v>0.4</v>
      </c>
      <c r="E203" s="371">
        <v>1</v>
      </c>
      <c r="F203" s="371"/>
      <c r="G203" s="371"/>
      <c r="H203" s="350">
        <v>3</v>
      </c>
      <c r="I203" s="354"/>
      <c r="J203" s="369"/>
      <c r="K203" s="369"/>
      <c r="L203" s="369"/>
      <c r="M203" s="206"/>
      <c r="N203" s="91"/>
      <c r="O203" s="92">
        <v>2</v>
      </c>
      <c r="P203" s="90"/>
      <c r="Q203" s="206"/>
      <c r="R203" s="355"/>
      <c r="S203" s="167"/>
      <c r="T203" s="373"/>
      <c r="U203" s="206"/>
      <c r="V203" s="206"/>
      <c r="W203" s="206"/>
      <c r="X203" s="96">
        <f t="shared" si="6"/>
        <v>0</v>
      </c>
      <c r="Y203" s="97"/>
      <c r="Z203" s="98"/>
      <c r="AA203" s="314" t="s">
        <v>245</v>
      </c>
    </row>
    <row r="204" spans="1:51" s="99" customFormat="1" ht="27.75" customHeight="1">
      <c r="A204" s="114" t="s">
        <v>240</v>
      </c>
      <c r="B204" s="115">
        <v>24</v>
      </c>
      <c r="C204" s="114" t="s">
        <v>266</v>
      </c>
      <c r="D204" s="371" t="s">
        <v>146</v>
      </c>
      <c r="E204" s="381">
        <v>1.23</v>
      </c>
      <c r="F204" s="371"/>
      <c r="G204" s="381"/>
      <c r="H204" s="350">
        <v>1</v>
      </c>
      <c r="I204" s="354"/>
      <c r="J204" s="369"/>
      <c r="K204" s="369"/>
      <c r="L204" s="369"/>
      <c r="M204" s="206"/>
      <c r="N204" s="91"/>
      <c r="O204" s="92"/>
      <c r="P204" s="90"/>
      <c r="Q204" s="93"/>
      <c r="R204" s="355"/>
      <c r="S204" s="167"/>
      <c r="T204" s="373"/>
      <c r="U204" s="206"/>
      <c r="V204" s="206"/>
      <c r="W204" s="206"/>
      <c r="X204" s="96">
        <f t="shared" si="6"/>
        <v>0</v>
      </c>
      <c r="Y204" s="97"/>
      <c r="Z204" s="98"/>
      <c r="AA204" s="314" t="s">
        <v>245</v>
      </c>
      <c r="AB204" s="211"/>
      <c r="AC204" s="211"/>
      <c r="AD204" s="374"/>
      <c r="AE204" s="374"/>
      <c r="AF204" s="374"/>
      <c r="AG204" s="375"/>
      <c r="AH204" s="374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</row>
    <row r="205" spans="1:51" s="99" customFormat="1" ht="27.75" customHeight="1">
      <c r="A205" s="114" t="s">
        <v>240</v>
      </c>
      <c r="B205" s="115">
        <v>25</v>
      </c>
      <c r="C205" s="114" t="s">
        <v>267</v>
      </c>
      <c r="D205" s="371" t="s">
        <v>146</v>
      </c>
      <c r="E205" s="371">
        <v>1.22</v>
      </c>
      <c r="F205" s="371"/>
      <c r="G205" s="371"/>
      <c r="H205" s="350">
        <v>1</v>
      </c>
      <c r="I205" s="354">
        <v>1</v>
      </c>
      <c r="J205" s="369">
        <v>6</v>
      </c>
      <c r="K205" s="369"/>
      <c r="L205" s="369"/>
      <c r="M205" s="206"/>
      <c r="N205" s="91"/>
      <c r="O205" s="382"/>
      <c r="P205" s="90"/>
      <c r="Q205" s="93"/>
      <c r="R205" s="355"/>
      <c r="S205" s="167"/>
      <c r="T205" s="373"/>
      <c r="U205" s="206"/>
      <c r="V205" s="206"/>
      <c r="W205" s="206"/>
      <c r="X205" s="96">
        <f t="shared" si="6"/>
        <v>0</v>
      </c>
      <c r="Y205" s="97"/>
      <c r="Z205" s="98"/>
      <c r="AA205" s="314" t="s">
        <v>245</v>
      </c>
      <c r="AB205" s="211"/>
      <c r="AC205" s="211"/>
      <c r="AD205" s="374"/>
      <c r="AE205" s="374"/>
      <c r="AF205" s="374"/>
      <c r="AG205" s="375"/>
      <c r="AH205" s="374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</row>
    <row r="206" spans="1:27" s="99" customFormat="1" ht="27.75" customHeight="1">
      <c r="A206" s="114" t="s">
        <v>240</v>
      </c>
      <c r="B206" s="115">
        <v>26</v>
      </c>
      <c r="C206" s="114" t="s">
        <v>268</v>
      </c>
      <c r="D206" s="371">
        <v>0.51</v>
      </c>
      <c r="E206" s="371">
        <v>1.09</v>
      </c>
      <c r="F206" s="371"/>
      <c r="G206" s="371"/>
      <c r="H206" s="350">
        <v>1</v>
      </c>
      <c r="I206" s="354">
        <v>1</v>
      </c>
      <c r="J206" s="369">
        <v>6</v>
      </c>
      <c r="K206" s="369"/>
      <c r="L206" s="369"/>
      <c r="M206" s="206"/>
      <c r="N206" s="91"/>
      <c r="O206" s="382"/>
      <c r="P206" s="90"/>
      <c r="Q206" s="93"/>
      <c r="R206" s="355"/>
      <c r="S206" s="167"/>
      <c r="T206" s="373"/>
      <c r="U206" s="206"/>
      <c r="V206" s="206"/>
      <c r="W206" s="206"/>
      <c r="X206" s="96">
        <f t="shared" si="6"/>
        <v>0</v>
      </c>
      <c r="Y206" s="97"/>
      <c r="Z206" s="98"/>
      <c r="AA206" s="314" t="s">
        <v>245</v>
      </c>
    </row>
    <row r="207" spans="1:27" s="99" customFormat="1" ht="27.75" customHeight="1">
      <c r="A207" s="114" t="s">
        <v>240</v>
      </c>
      <c r="B207" s="115">
        <v>27</v>
      </c>
      <c r="C207" s="114" t="s">
        <v>269</v>
      </c>
      <c r="D207" s="371">
        <v>0.54</v>
      </c>
      <c r="E207" s="371">
        <v>0.94</v>
      </c>
      <c r="F207" s="371"/>
      <c r="G207" s="371"/>
      <c r="H207" s="350">
        <v>1</v>
      </c>
      <c r="I207" s="354">
        <v>1</v>
      </c>
      <c r="J207" s="369">
        <v>6</v>
      </c>
      <c r="K207" s="369"/>
      <c r="L207" s="369"/>
      <c r="M207" s="206"/>
      <c r="N207" s="91"/>
      <c r="O207" s="382"/>
      <c r="P207" s="90"/>
      <c r="Q207" s="93"/>
      <c r="R207" s="355"/>
      <c r="S207" s="167"/>
      <c r="T207" s="373"/>
      <c r="U207" s="206"/>
      <c r="V207" s="206"/>
      <c r="W207" s="206"/>
      <c r="X207" s="96">
        <f t="shared" si="6"/>
        <v>0</v>
      </c>
      <c r="Y207" s="97"/>
      <c r="Z207" s="98"/>
      <c r="AA207" s="314" t="s">
        <v>245</v>
      </c>
    </row>
    <row r="208" spans="1:27" s="99" customFormat="1" ht="27.75" customHeight="1">
      <c r="A208" s="114" t="s">
        <v>240</v>
      </c>
      <c r="B208" s="115">
        <v>28</v>
      </c>
      <c r="C208" s="114" t="s">
        <v>270</v>
      </c>
      <c r="D208" s="371">
        <v>0.55</v>
      </c>
      <c r="E208" s="371">
        <v>0.9</v>
      </c>
      <c r="F208" s="371"/>
      <c r="G208" s="371"/>
      <c r="H208" s="350">
        <v>1</v>
      </c>
      <c r="I208" s="354">
        <v>1</v>
      </c>
      <c r="J208" s="369">
        <v>6</v>
      </c>
      <c r="K208" s="369"/>
      <c r="L208" s="369"/>
      <c r="M208" s="369"/>
      <c r="N208" s="91"/>
      <c r="O208" s="92">
        <v>4</v>
      </c>
      <c r="P208" s="90"/>
      <c r="Q208" s="93"/>
      <c r="R208" s="355"/>
      <c r="S208" s="352">
        <v>3</v>
      </c>
      <c r="T208" s="353">
        <v>2</v>
      </c>
      <c r="U208" s="93"/>
      <c r="V208" s="93"/>
      <c r="W208" s="93"/>
      <c r="X208" s="96">
        <f>M208+R208+W208</f>
        <v>0</v>
      </c>
      <c r="Y208" s="97"/>
      <c r="Z208" s="98"/>
      <c r="AA208" s="314" t="s">
        <v>245</v>
      </c>
    </row>
    <row r="209" spans="1:27" s="99" customFormat="1" ht="27.75" customHeight="1">
      <c r="A209" s="114" t="s">
        <v>240</v>
      </c>
      <c r="B209" s="115">
        <v>29</v>
      </c>
      <c r="C209" s="114" t="s">
        <v>271</v>
      </c>
      <c r="D209" s="371">
        <v>0.37</v>
      </c>
      <c r="E209" s="371">
        <v>0.65</v>
      </c>
      <c r="F209" s="371"/>
      <c r="G209" s="371"/>
      <c r="H209" s="350">
        <v>1</v>
      </c>
      <c r="I209" s="354"/>
      <c r="J209" s="383"/>
      <c r="K209" s="383"/>
      <c r="L209" s="383"/>
      <c r="M209" s="383"/>
      <c r="N209" s="383"/>
      <c r="O209" s="384"/>
      <c r="P209" s="385"/>
      <c r="Q209" s="385"/>
      <c r="R209" s="385"/>
      <c r="S209" s="386"/>
      <c r="T209" s="387"/>
      <c r="U209" s="388"/>
      <c r="V209" s="388"/>
      <c r="W209" s="388"/>
      <c r="X209" s="389"/>
      <c r="Y209" s="390"/>
      <c r="Z209" s="98"/>
      <c r="AA209" s="314" t="s">
        <v>245</v>
      </c>
    </row>
    <row r="210" spans="1:27" s="99" customFormat="1" ht="27.75" customHeight="1">
      <c r="A210" s="114" t="s">
        <v>240</v>
      </c>
      <c r="B210" s="115">
        <v>30</v>
      </c>
      <c r="C210" s="114" t="s">
        <v>272</v>
      </c>
      <c r="D210" s="371">
        <v>0.48</v>
      </c>
      <c r="E210" s="371">
        <v>0.82</v>
      </c>
      <c r="F210" s="371"/>
      <c r="G210" s="371"/>
      <c r="H210" s="350">
        <v>1</v>
      </c>
      <c r="I210" s="354"/>
      <c r="J210" s="383"/>
      <c r="K210" s="383"/>
      <c r="L210" s="383"/>
      <c r="M210" s="383"/>
      <c r="N210" s="383"/>
      <c r="O210" s="384"/>
      <c r="P210" s="385"/>
      <c r="Q210" s="385"/>
      <c r="R210" s="385"/>
      <c r="S210" s="386"/>
      <c r="T210" s="387"/>
      <c r="U210" s="388"/>
      <c r="V210" s="388"/>
      <c r="W210" s="388"/>
      <c r="X210" s="389"/>
      <c r="Y210" s="390"/>
      <c r="Z210" s="98"/>
      <c r="AA210" s="314" t="s">
        <v>245</v>
      </c>
    </row>
    <row r="211" spans="1:27" s="99" customFormat="1" ht="27.75" customHeight="1">
      <c r="A211" s="114" t="s">
        <v>240</v>
      </c>
      <c r="B211" s="115">
        <v>31</v>
      </c>
      <c r="C211" s="114" t="s">
        <v>273</v>
      </c>
      <c r="D211" s="391"/>
      <c r="E211" s="391"/>
      <c r="F211" s="391"/>
      <c r="G211" s="391"/>
      <c r="H211" s="350">
        <v>1</v>
      </c>
      <c r="I211" s="354"/>
      <c r="J211" s="355"/>
      <c r="K211" s="392"/>
      <c r="L211" s="355"/>
      <c r="M211" s="355"/>
      <c r="N211" s="91"/>
      <c r="O211" s="92"/>
      <c r="P211" s="206"/>
      <c r="Q211" s="206"/>
      <c r="R211" s="206"/>
      <c r="S211" s="167"/>
      <c r="T211" s="373"/>
      <c r="U211" s="93"/>
      <c r="V211" s="93"/>
      <c r="W211" s="93"/>
      <c r="X211" s="96">
        <f>M211+R211+W211</f>
        <v>0</v>
      </c>
      <c r="Y211" s="97"/>
      <c r="Z211" s="98"/>
      <c r="AA211" s="314" t="s">
        <v>245</v>
      </c>
    </row>
    <row r="212" spans="1:27" s="99" customFormat="1" ht="27.75" customHeight="1">
      <c r="A212" s="114" t="s">
        <v>240</v>
      </c>
      <c r="B212" s="115">
        <v>32</v>
      </c>
      <c r="C212" s="114" t="s">
        <v>274</v>
      </c>
      <c r="D212" s="393"/>
      <c r="E212" s="391"/>
      <c r="F212" s="393"/>
      <c r="G212" s="391"/>
      <c r="H212" s="88"/>
      <c r="I212" s="89"/>
      <c r="J212" s="355"/>
      <c r="K212" s="206"/>
      <c r="L212" s="206"/>
      <c r="M212" s="206"/>
      <c r="N212" s="135"/>
      <c r="O212" s="92"/>
      <c r="P212" s="206"/>
      <c r="Q212" s="206"/>
      <c r="R212" s="206"/>
      <c r="S212" s="394"/>
      <c r="T212" s="95"/>
      <c r="U212" s="90"/>
      <c r="V212" s="93"/>
      <c r="W212" s="90"/>
      <c r="X212" s="96">
        <f>M212+R212+W212</f>
        <v>0</v>
      </c>
      <c r="Y212" s="346"/>
      <c r="Z212" s="98"/>
      <c r="AA212" s="314" t="s">
        <v>245</v>
      </c>
    </row>
    <row r="213" spans="1:27" s="99" customFormat="1" ht="27.75" customHeight="1">
      <c r="A213" s="114" t="s">
        <v>240</v>
      </c>
      <c r="B213" s="115">
        <v>33</v>
      </c>
      <c r="C213" s="114" t="s">
        <v>275</v>
      </c>
      <c r="D213" s="393"/>
      <c r="E213" s="391"/>
      <c r="F213" s="393"/>
      <c r="G213" s="391"/>
      <c r="H213" s="395"/>
      <c r="I213" s="117"/>
      <c r="J213" s="206"/>
      <c r="K213" s="206"/>
      <c r="L213" s="206"/>
      <c r="M213" s="206"/>
      <c r="N213" s="91"/>
      <c r="O213" s="149"/>
      <c r="P213" s="206"/>
      <c r="Q213" s="206"/>
      <c r="R213" s="206"/>
      <c r="S213" s="167"/>
      <c r="T213" s="373"/>
      <c r="U213" s="93"/>
      <c r="V213" s="93"/>
      <c r="W213" s="93"/>
      <c r="X213" s="96">
        <f>M213+R213+W213</f>
        <v>0</v>
      </c>
      <c r="Y213" s="346"/>
      <c r="Z213" s="98"/>
      <c r="AA213" s="314" t="s">
        <v>245</v>
      </c>
    </row>
    <row r="214" spans="1:27" s="99" customFormat="1" ht="27.75" customHeight="1">
      <c r="A214" s="114" t="s">
        <v>276</v>
      </c>
      <c r="B214" s="115">
        <v>1</v>
      </c>
      <c r="C214" s="114" t="s">
        <v>277</v>
      </c>
      <c r="D214" s="393"/>
      <c r="E214" s="391"/>
      <c r="F214" s="393"/>
      <c r="G214" s="391"/>
      <c r="H214" s="88"/>
      <c r="I214" s="89"/>
      <c r="J214" s="93"/>
      <c r="K214" s="93"/>
      <c r="L214" s="93"/>
      <c r="M214" s="90"/>
      <c r="N214" s="91">
        <v>3</v>
      </c>
      <c r="O214" s="92">
        <v>12</v>
      </c>
      <c r="P214" s="206"/>
      <c r="Q214" s="206"/>
      <c r="R214" s="206"/>
      <c r="S214" s="352">
        <v>3</v>
      </c>
      <c r="T214" s="95">
        <v>2</v>
      </c>
      <c r="U214" s="90"/>
      <c r="V214" s="93"/>
      <c r="W214" s="90"/>
      <c r="X214" s="96">
        <f>M214+R214+W214</f>
        <v>0</v>
      </c>
      <c r="Y214" s="97"/>
      <c r="Z214" s="98"/>
      <c r="AA214" s="314" t="s">
        <v>245</v>
      </c>
    </row>
    <row r="215" spans="1:51" s="402" customFormat="1" ht="27.75" customHeight="1">
      <c r="A215" s="572" t="s">
        <v>60</v>
      </c>
      <c r="B215" s="573"/>
      <c r="C215" s="173"/>
      <c r="D215" s="396"/>
      <c r="E215" s="396"/>
      <c r="F215" s="396"/>
      <c r="G215" s="396"/>
      <c r="H215" s="175">
        <v>6</v>
      </c>
      <c r="I215" s="176">
        <v>12.5</v>
      </c>
      <c r="J215" s="176"/>
      <c r="K215" s="176"/>
      <c r="L215" s="176"/>
      <c r="M215" s="178">
        <f>SUM(M216:M296)</f>
        <v>0.718848</v>
      </c>
      <c r="N215" s="176"/>
      <c r="O215" s="179">
        <f>SUM(O216:O295)</f>
        <v>57</v>
      </c>
      <c r="P215" s="397">
        <f>SUM(P216:P295)</f>
        <v>0</v>
      </c>
      <c r="Q215" s="398"/>
      <c r="R215" s="178">
        <f>SUM(R216:R296)</f>
        <v>0</v>
      </c>
      <c r="S215" s="176"/>
      <c r="T215" s="179">
        <f>SUM(T216:T295)</f>
        <v>31</v>
      </c>
      <c r="U215" s="180">
        <f>SUM(U216:U295)</f>
        <v>0</v>
      </c>
      <c r="V215" s="398"/>
      <c r="W215" s="178">
        <f>SUM(W216:W296)</f>
        <v>0</v>
      </c>
      <c r="X215" s="330">
        <f>M215+W215+R215</f>
        <v>0.718848</v>
      </c>
      <c r="Y215" s="215"/>
      <c r="Z215" s="399"/>
      <c r="AA215" s="400"/>
      <c r="AB215" s="401"/>
      <c r="AC215" s="401"/>
      <c r="AD215" s="401"/>
      <c r="AE215" s="401"/>
      <c r="AF215" s="401"/>
      <c r="AG215" s="401"/>
      <c r="AH215" s="401"/>
      <c r="AI215" s="401"/>
      <c r="AJ215" s="401"/>
      <c r="AK215" s="401"/>
      <c r="AL215" s="401"/>
      <c r="AM215" s="401"/>
      <c r="AN215" s="401"/>
      <c r="AO215" s="401"/>
      <c r="AP215" s="401"/>
      <c r="AQ215" s="401"/>
      <c r="AR215" s="401"/>
      <c r="AS215" s="401"/>
      <c r="AT215" s="401"/>
      <c r="AU215" s="401"/>
      <c r="AV215" s="401"/>
      <c r="AW215" s="401"/>
      <c r="AX215" s="401"/>
      <c r="AY215" s="401"/>
    </row>
    <row r="216" spans="1:51" s="211" customFormat="1" ht="30">
      <c r="A216" s="114" t="s">
        <v>187</v>
      </c>
      <c r="B216" s="115">
        <v>1</v>
      </c>
      <c r="C216" s="114" t="s">
        <v>278</v>
      </c>
      <c r="D216" s="349">
        <v>1.5</v>
      </c>
      <c r="E216" s="349">
        <v>1.45</v>
      </c>
      <c r="F216" s="349">
        <v>1.51</v>
      </c>
      <c r="G216" s="349">
        <v>1.45</v>
      </c>
      <c r="H216" s="88">
        <v>0.7</v>
      </c>
      <c r="I216" s="89"/>
      <c r="J216" s="117"/>
      <c r="K216" s="117"/>
      <c r="L216" s="117"/>
      <c r="M216" s="117"/>
      <c r="N216" s="91"/>
      <c r="O216" s="149"/>
      <c r="P216" s="89"/>
      <c r="Q216" s="117"/>
      <c r="R216" s="89"/>
      <c r="S216" s="335"/>
      <c r="T216" s="88"/>
      <c r="U216" s="89"/>
      <c r="V216" s="117"/>
      <c r="W216" s="89"/>
      <c r="X216" s="336">
        <f aca="true" t="shared" si="7" ref="X216:X224">M216+R216+W216</f>
        <v>0</v>
      </c>
      <c r="Y216" s="124"/>
      <c r="Z216" s="217"/>
      <c r="AA216" s="168">
        <f>+M215+R215+W215</f>
        <v>0.718848</v>
      </c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</row>
    <row r="217" spans="1:27" s="250" customFormat="1" ht="27.75" customHeight="1">
      <c r="A217" s="114" t="s">
        <v>187</v>
      </c>
      <c r="B217" s="115">
        <v>2</v>
      </c>
      <c r="C217" s="114" t="s">
        <v>279</v>
      </c>
      <c r="D217" s="349">
        <v>1.35</v>
      </c>
      <c r="E217" s="349">
        <v>1.07</v>
      </c>
      <c r="F217" s="349">
        <v>1.3</v>
      </c>
      <c r="G217" s="349">
        <v>1.1</v>
      </c>
      <c r="H217" s="88">
        <v>1</v>
      </c>
      <c r="I217" s="89"/>
      <c r="J217" s="89"/>
      <c r="K217" s="117"/>
      <c r="L217" s="354"/>
      <c r="M217" s="354"/>
      <c r="N217" s="91"/>
      <c r="O217" s="149"/>
      <c r="P217" s="89"/>
      <c r="Q217" s="117"/>
      <c r="R217" s="89"/>
      <c r="S217" s="94">
        <v>3</v>
      </c>
      <c r="T217" s="95">
        <v>2</v>
      </c>
      <c r="U217" s="89"/>
      <c r="V217" s="117"/>
      <c r="W217" s="89"/>
      <c r="X217" s="96">
        <f t="shared" si="7"/>
        <v>0</v>
      </c>
      <c r="Y217" s="124"/>
      <c r="Z217" s="246"/>
      <c r="AA217" s="403" t="s">
        <v>245</v>
      </c>
    </row>
    <row r="218" spans="1:27" s="250" customFormat="1" ht="27.75" customHeight="1">
      <c r="A218" s="114" t="s">
        <v>187</v>
      </c>
      <c r="B218" s="115">
        <v>3</v>
      </c>
      <c r="C218" s="114" t="s">
        <v>280</v>
      </c>
      <c r="D218" s="349">
        <v>1.23</v>
      </c>
      <c r="E218" s="349">
        <v>1.02</v>
      </c>
      <c r="F218" s="349">
        <v>1.24</v>
      </c>
      <c r="G218" s="349">
        <v>1.05</v>
      </c>
      <c r="H218" s="88">
        <v>-0.07</v>
      </c>
      <c r="I218" s="89"/>
      <c r="J218" s="89"/>
      <c r="K218" s="117"/>
      <c r="L218" s="354"/>
      <c r="M218" s="117"/>
      <c r="N218" s="91"/>
      <c r="O218" s="149"/>
      <c r="P218" s="89"/>
      <c r="Q218" s="117"/>
      <c r="R218" s="89"/>
      <c r="S218" s="94">
        <v>3</v>
      </c>
      <c r="T218" s="95">
        <v>2</v>
      </c>
      <c r="U218" s="117"/>
      <c r="V218" s="117"/>
      <c r="W218" s="117"/>
      <c r="X218" s="96">
        <f t="shared" si="7"/>
        <v>0</v>
      </c>
      <c r="Y218" s="124"/>
      <c r="Z218" s="196"/>
      <c r="AA218" s="403" t="s">
        <v>245</v>
      </c>
    </row>
    <row r="219" spans="1:27" s="250" customFormat="1" ht="27.75" customHeight="1">
      <c r="A219" s="114" t="s">
        <v>187</v>
      </c>
      <c r="B219" s="115">
        <v>4</v>
      </c>
      <c r="C219" s="114" t="s">
        <v>281</v>
      </c>
      <c r="D219" s="349">
        <v>1.3</v>
      </c>
      <c r="E219" s="349">
        <v>0.97</v>
      </c>
      <c r="F219" s="349">
        <v>1.31</v>
      </c>
      <c r="G219" s="349">
        <v>1</v>
      </c>
      <c r="H219" s="88">
        <v>1.46</v>
      </c>
      <c r="I219" s="89"/>
      <c r="J219" s="89"/>
      <c r="K219" s="117"/>
      <c r="L219" s="354"/>
      <c r="M219" s="391"/>
      <c r="N219" s="91"/>
      <c r="O219" s="149"/>
      <c r="P219" s="89"/>
      <c r="Q219" s="117"/>
      <c r="R219" s="89"/>
      <c r="S219" s="94">
        <v>3</v>
      </c>
      <c r="T219" s="95">
        <v>2</v>
      </c>
      <c r="U219" s="117"/>
      <c r="V219" s="117"/>
      <c r="W219" s="117"/>
      <c r="X219" s="96">
        <f t="shared" si="7"/>
        <v>0</v>
      </c>
      <c r="Y219" s="124"/>
      <c r="Z219" s="246"/>
      <c r="AA219" s="403" t="s">
        <v>190</v>
      </c>
    </row>
    <row r="220" spans="1:27" s="250" customFormat="1" ht="27.75" customHeight="1">
      <c r="A220" s="114" t="s">
        <v>187</v>
      </c>
      <c r="B220" s="115">
        <v>5</v>
      </c>
      <c r="C220" s="114" t="s">
        <v>282</v>
      </c>
      <c r="D220" s="349">
        <v>1.29</v>
      </c>
      <c r="E220" s="349">
        <v>0.79</v>
      </c>
      <c r="F220" s="349">
        <v>1.31</v>
      </c>
      <c r="G220" s="349">
        <v>0.81</v>
      </c>
      <c r="H220" s="88">
        <v>1.9</v>
      </c>
      <c r="I220" s="89"/>
      <c r="J220" s="89"/>
      <c r="K220" s="117"/>
      <c r="L220" s="354"/>
      <c r="M220" s="354"/>
      <c r="N220" s="91"/>
      <c r="O220" s="149"/>
      <c r="P220" s="89"/>
      <c r="Q220" s="117"/>
      <c r="R220" s="89"/>
      <c r="S220" s="94">
        <v>3</v>
      </c>
      <c r="T220" s="95">
        <v>2</v>
      </c>
      <c r="U220" s="117"/>
      <c r="V220" s="117"/>
      <c r="W220" s="117"/>
      <c r="X220" s="96">
        <f t="shared" si="7"/>
        <v>0</v>
      </c>
      <c r="Y220" s="124"/>
      <c r="Z220" s="246"/>
      <c r="AA220" s="403" t="s">
        <v>190</v>
      </c>
    </row>
    <row r="221" spans="1:27" s="250" customFormat="1" ht="27.75" customHeight="1">
      <c r="A221" s="114" t="s">
        <v>187</v>
      </c>
      <c r="B221" s="115">
        <v>6</v>
      </c>
      <c r="C221" s="114" t="s">
        <v>283</v>
      </c>
      <c r="D221" s="349">
        <v>1.24</v>
      </c>
      <c r="E221" s="349">
        <v>0.86</v>
      </c>
      <c r="F221" s="349">
        <v>1.27</v>
      </c>
      <c r="G221" s="349">
        <v>0.87</v>
      </c>
      <c r="H221" s="88">
        <v>0.74</v>
      </c>
      <c r="I221" s="89"/>
      <c r="J221" s="89"/>
      <c r="K221" s="117"/>
      <c r="L221" s="89"/>
      <c r="M221" s="117"/>
      <c r="N221" s="91"/>
      <c r="O221" s="149"/>
      <c r="P221" s="89"/>
      <c r="Q221" s="117"/>
      <c r="R221" s="89"/>
      <c r="S221" s="94">
        <v>3</v>
      </c>
      <c r="T221" s="95">
        <v>2</v>
      </c>
      <c r="U221" s="89"/>
      <c r="V221" s="117"/>
      <c r="W221" s="89"/>
      <c r="X221" s="96">
        <f t="shared" si="7"/>
        <v>0</v>
      </c>
      <c r="Y221" s="124"/>
      <c r="Z221" s="246"/>
      <c r="AA221" s="403" t="s">
        <v>190</v>
      </c>
    </row>
    <row r="222" spans="1:27" s="250" customFormat="1" ht="27.75" customHeight="1">
      <c r="A222" s="114" t="s">
        <v>187</v>
      </c>
      <c r="B222" s="115">
        <v>7</v>
      </c>
      <c r="C222" s="114" t="s">
        <v>284</v>
      </c>
      <c r="D222" s="349">
        <v>1.2</v>
      </c>
      <c r="E222" s="349">
        <v>0.93</v>
      </c>
      <c r="F222" s="349">
        <v>1.24</v>
      </c>
      <c r="G222" s="349">
        <v>0.93</v>
      </c>
      <c r="H222" s="88">
        <v>1.84</v>
      </c>
      <c r="I222" s="89"/>
      <c r="J222" s="89"/>
      <c r="K222" s="117"/>
      <c r="L222" s="89"/>
      <c r="M222" s="89"/>
      <c r="N222" s="91"/>
      <c r="O222" s="149"/>
      <c r="P222" s="89"/>
      <c r="Q222" s="117"/>
      <c r="R222" s="89"/>
      <c r="S222" s="94">
        <v>3</v>
      </c>
      <c r="T222" s="95">
        <v>2</v>
      </c>
      <c r="U222" s="89"/>
      <c r="V222" s="117"/>
      <c r="W222" s="89"/>
      <c r="X222" s="96">
        <f t="shared" si="7"/>
        <v>0</v>
      </c>
      <c r="Y222" s="124"/>
      <c r="Z222" s="246"/>
      <c r="AA222" s="403" t="s">
        <v>190</v>
      </c>
    </row>
    <row r="223" spans="1:27" s="250" customFormat="1" ht="27.75" customHeight="1">
      <c r="A223" s="114" t="s">
        <v>187</v>
      </c>
      <c r="B223" s="115">
        <v>8</v>
      </c>
      <c r="C223" s="114" t="s">
        <v>285</v>
      </c>
      <c r="D223" s="349"/>
      <c r="E223" s="349"/>
      <c r="F223" s="349"/>
      <c r="G223" s="349"/>
      <c r="H223" s="88"/>
      <c r="I223" s="89"/>
      <c r="J223" s="89"/>
      <c r="K223" s="117"/>
      <c r="L223" s="89"/>
      <c r="M223" s="89"/>
      <c r="N223" s="91">
        <v>3</v>
      </c>
      <c r="O223" s="149"/>
      <c r="P223" s="89"/>
      <c r="Q223" s="117"/>
      <c r="R223" s="89"/>
      <c r="S223" s="94"/>
      <c r="T223" s="95"/>
      <c r="U223" s="89"/>
      <c r="V223" s="117"/>
      <c r="W223" s="89"/>
      <c r="X223" s="96">
        <f t="shared" si="7"/>
        <v>0</v>
      </c>
      <c r="Y223" s="124"/>
      <c r="Z223" s="246"/>
      <c r="AA223" s="403" t="s">
        <v>190</v>
      </c>
    </row>
    <row r="224" spans="1:29" s="250" customFormat="1" ht="27.75" customHeight="1">
      <c r="A224" s="114" t="s">
        <v>187</v>
      </c>
      <c r="B224" s="115">
        <v>9</v>
      </c>
      <c r="C224" s="114" t="s">
        <v>286</v>
      </c>
      <c r="D224" s="349"/>
      <c r="E224" s="349"/>
      <c r="F224" s="349"/>
      <c r="G224" s="349"/>
      <c r="H224" s="88"/>
      <c r="I224" s="89"/>
      <c r="J224" s="89"/>
      <c r="K224" s="117"/>
      <c r="L224" s="89"/>
      <c r="M224" s="89"/>
      <c r="N224" s="91"/>
      <c r="O224" s="149"/>
      <c r="P224" s="89"/>
      <c r="Q224" s="117"/>
      <c r="R224" s="89"/>
      <c r="S224" s="94"/>
      <c r="T224" s="95"/>
      <c r="U224" s="89"/>
      <c r="V224" s="117"/>
      <c r="W224" s="89"/>
      <c r="X224" s="96">
        <f t="shared" si="7"/>
        <v>0</v>
      </c>
      <c r="Y224" s="124"/>
      <c r="Z224" s="246"/>
      <c r="AA224" s="403" t="s">
        <v>190</v>
      </c>
      <c r="AB224" s="404">
        <f>G222-F222</f>
        <v>-0.30999999999999994</v>
      </c>
      <c r="AC224" s="405">
        <f>+G222</f>
        <v>0.93</v>
      </c>
    </row>
    <row r="225" spans="1:27" s="250" customFormat="1" ht="27.75" customHeight="1">
      <c r="A225" s="114" t="s">
        <v>187</v>
      </c>
      <c r="B225" s="115">
        <v>10</v>
      </c>
      <c r="C225" s="114" t="s">
        <v>287</v>
      </c>
      <c r="D225" s="349"/>
      <c r="E225" s="349"/>
      <c r="F225" s="349"/>
      <c r="G225" s="349"/>
      <c r="H225" s="88"/>
      <c r="I225" s="89"/>
      <c r="J225" s="89"/>
      <c r="K225" s="89"/>
      <c r="L225" s="89"/>
      <c r="M225" s="89"/>
      <c r="N225" s="91"/>
      <c r="O225" s="149"/>
      <c r="P225" s="89"/>
      <c r="Q225" s="117"/>
      <c r="R225" s="89"/>
      <c r="S225" s="94"/>
      <c r="T225" s="95"/>
      <c r="U225" s="89"/>
      <c r="V225" s="117"/>
      <c r="W225" s="89"/>
      <c r="X225" s="96">
        <f>M225+R225+W225</f>
        <v>0</v>
      </c>
      <c r="Y225" s="124"/>
      <c r="Z225" s="246"/>
      <c r="AA225" s="403" t="s">
        <v>190</v>
      </c>
    </row>
    <row r="226" spans="1:27" s="250" customFormat="1" ht="27.75" customHeight="1">
      <c r="A226" s="114" t="s">
        <v>187</v>
      </c>
      <c r="B226" s="115">
        <v>1</v>
      </c>
      <c r="C226" s="114" t="s">
        <v>288</v>
      </c>
      <c r="D226" s="349">
        <v>1.18</v>
      </c>
      <c r="E226" s="349">
        <v>1</v>
      </c>
      <c r="F226" s="349">
        <v>1.2</v>
      </c>
      <c r="G226" s="349">
        <v>1</v>
      </c>
      <c r="H226" s="88">
        <v>1.75</v>
      </c>
      <c r="I226" s="89">
        <v>6</v>
      </c>
      <c r="J226" s="89">
        <v>2</v>
      </c>
      <c r="K226" s="354">
        <v>0.5</v>
      </c>
      <c r="L226" s="89">
        <v>24</v>
      </c>
      <c r="M226" s="89">
        <f>718848/1000000</f>
        <v>0.718848</v>
      </c>
      <c r="N226" s="91"/>
      <c r="O226" s="149"/>
      <c r="P226" s="89"/>
      <c r="Q226" s="117"/>
      <c r="R226" s="89"/>
      <c r="S226" s="94">
        <v>3</v>
      </c>
      <c r="T226" s="95">
        <v>2</v>
      </c>
      <c r="U226" s="117"/>
      <c r="V226" s="117"/>
      <c r="W226" s="117"/>
      <c r="X226" s="96">
        <f aca="true" t="shared" si="8" ref="X226:X289">M226+R226+W226</f>
        <v>0.718848</v>
      </c>
      <c r="Y226" s="124"/>
      <c r="Z226" s="246"/>
      <c r="AA226" s="403"/>
    </row>
    <row r="227" spans="1:29" s="250" customFormat="1" ht="27.75" customHeight="1">
      <c r="A227" s="114" t="s">
        <v>187</v>
      </c>
      <c r="B227" s="115">
        <v>2</v>
      </c>
      <c r="C227" s="114" t="s">
        <v>289</v>
      </c>
      <c r="D227" s="349">
        <v>1.18</v>
      </c>
      <c r="E227" s="349">
        <v>1</v>
      </c>
      <c r="F227" s="349">
        <v>1.2</v>
      </c>
      <c r="G227" s="349">
        <v>1</v>
      </c>
      <c r="H227" s="88" t="s">
        <v>0</v>
      </c>
      <c r="I227" s="89">
        <v>6</v>
      </c>
      <c r="J227" s="89"/>
      <c r="K227" s="89"/>
      <c r="L227" s="89"/>
      <c r="M227" s="89"/>
      <c r="N227" s="91"/>
      <c r="O227" s="149"/>
      <c r="P227" s="342"/>
      <c r="Q227" s="342"/>
      <c r="R227" s="117"/>
      <c r="S227" s="94">
        <v>3</v>
      </c>
      <c r="T227" s="95">
        <v>2</v>
      </c>
      <c r="U227" s="117"/>
      <c r="V227" s="117"/>
      <c r="W227" s="117"/>
      <c r="X227" s="96">
        <f t="shared" si="8"/>
        <v>0</v>
      </c>
      <c r="Y227" s="124"/>
      <c r="Z227" s="246"/>
      <c r="AA227" s="403" t="s">
        <v>190</v>
      </c>
      <c r="AB227" s="404">
        <f>G225-F225</f>
        <v>0</v>
      </c>
      <c r="AC227" s="405">
        <f>+G225</f>
        <v>0</v>
      </c>
    </row>
    <row r="228" spans="1:29" s="250" customFormat="1" ht="27.75" customHeight="1">
      <c r="A228" s="114" t="s">
        <v>194</v>
      </c>
      <c r="B228" s="115">
        <v>1</v>
      </c>
      <c r="C228" s="114" t="s">
        <v>290</v>
      </c>
      <c r="D228" s="370">
        <v>1</v>
      </c>
      <c r="E228" s="370">
        <v>1.1</v>
      </c>
      <c r="F228" s="370">
        <v>0.9</v>
      </c>
      <c r="G228" s="370">
        <v>1.2</v>
      </c>
      <c r="H228" s="88">
        <v>1.75</v>
      </c>
      <c r="I228" s="89">
        <v>6</v>
      </c>
      <c r="J228" s="90"/>
      <c r="K228" s="355"/>
      <c r="L228" s="90"/>
      <c r="M228" s="90"/>
      <c r="N228" s="91"/>
      <c r="O228" s="149"/>
      <c r="P228" s="206"/>
      <c r="Q228" s="206"/>
      <c r="R228" s="206"/>
      <c r="S228" s="142"/>
      <c r="T228" s="95"/>
      <c r="U228" s="90"/>
      <c r="V228" s="93"/>
      <c r="W228" s="90"/>
      <c r="X228" s="96">
        <f t="shared" si="8"/>
        <v>0</v>
      </c>
      <c r="Y228" s="97"/>
      <c r="Z228" s="246"/>
      <c r="AA228" s="403" t="s">
        <v>190</v>
      </c>
      <c r="AB228" s="404">
        <f>G226-F226</f>
        <v>-0.19999999999999996</v>
      </c>
      <c r="AC228" s="405">
        <f>+G226</f>
        <v>1</v>
      </c>
    </row>
    <row r="229" spans="1:51" s="211" customFormat="1" ht="27.75" customHeight="1">
      <c r="A229" s="114" t="s">
        <v>194</v>
      </c>
      <c r="B229" s="115"/>
      <c r="C229" s="114" t="s">
        <v>291</v>
      </c>
      <c r="D229" s="370"/>
      <c r="E229" s="370"/>
      <c r="F229" s="370"/>
      <c r="G229" s="370"/>
      <c r="H229" s="88">
        <v>2</v>
      </c>
      <c r="I229" s="89">
        <v>6</v>
      </c>
      <c r="J229" s="90"/>
      <c r="K229" s="90"/>
      <c r="L229" s="90"/>
      <c r="M229" s="90"/>
      <c r="N229" s="91"/>
      <c r="O229" s="149"/>
      <c r="P229" s="206"/>
      <c r="Q229" s="206"/>
      <c r="R229" s="206"/>
      <c r="S229" s="142"/>
      <c r="T229" s="95"/>
      <c r="U229" s="90"/>
      <c r="V229" s="93"/>
      <c r="W229" s="90"/>
      <c r="X229" s="96">
        <f t="shared" si="8"/>
        <v>0</v>
      </c>
      <c r="Y229" s="97"/>
      <c r="Z229" s="217"/>
      <c r="AA229" s="406" t="s">
        <v>190</v>
      </c>
      <c r="AD229" s="250"/>
      <c r="AE229" s="250"/>
      <c r="AF229" s="250"/>
      <c r="AG229" s="250"/>
      <c r="AH229" s="250"/>
      <c r="AI229" s="250"/>
      <c r="AJ229" s="250"/>
      <c r="AK229" s="250"/>
      <c r="AL229" s="250"/>
      <c r="AM229" s="250"/>
      <c r="AN229" s="250"/>
      <c r="AO229" s="250"/>
      <c r="AP229" s="250"/>
      <c r="AQ229" s="250"/>
      <c r="AR229" s="250"/>
      <c r="AS229" s="250"/>
      <c r="AT229" s="250"/>
      <c r="AU229" s="250"/>
      <c r="AV229" s="250"/>
      <c r="AW229" s="250"/>
      <c r="AX229" s="250"/>
      <c r="AY229" s="250"/>
    </row>
    <row r="230" spans="1:51" s="211" customFormat="1" ht="27.75" customHeight="1">
      <c r="A230" s="114" t="s">
        <v>194</v>
      </c>
      <c r="B230" s="115">
        <v>2</v>
      </c>
      <c r="C230" s="114" t="s">
        <v>292</v>
      </c>
      <c r="D230" s="370">
        <v>0.98</v>
      </c>
      <c r="E230" s="370">
        <v>1.16</v>
      </c>
      <c r="F230" s="370">
        <v>0.88</v>
      </c>
      <c r="G230" s="370">
        <v>1.26</v>
      </c>
      <c r="H230" s="88">
        <v>2</v>
      </c>
      <c r="I230" s="89">
        <v>6</v>
      </c>
      <c r="J230" s="90"/>
      <c r="K230" s="355"/>
      <c r="L230" s="90"/>
      <c r="M230" s="90"/>
      <c r="N230" s="91"/>
      <c r="O230" s="92"/>
      <c r="P230" s="206"/>
      <c r="Q230" s="206"/>
      <c r="R230" s="206"/>
      <c r="S230" s="94"/>
      <c r="T230" s="95"/>
      <c r="U230" s="93"/>
      <c r="V230" s="355"/>
      <c r="W230" s="90"/>
      <c r="X230" s="96">
        <f t="shared" si="8"/>
        <v>0</v>
      </c>
      <c r="Y230" s="97"/>
      <c r="Z230" s="217"/>
      <c r="AA230" s="406" t="s">
        <v>190</v>
      </c>
      <c r="AD230" s="250"/>
      <c r="AE230" s="250"/>
      <c r="AF230" s="250"/>
      <c r="AG230" s="250"/>
      <c r="AH230" s="250"/>
      <c r="AI230" s="250"/>
      <c r="AJ230" s="250"/>
      <c r="AK230" s="250"/>
      <c r="AL230" s="250"/>
      <c r="AM230" s="250"/>
      <c r="AN230" s="250"/>
      <c r="AO230" s="250"/>
      <c r="AP230" s="250"/>
      <c r="AQ230" s="250"/>
      <c r="AR230" s="250"/>
      <c r="AS230" s="250"/>
      <c r="AT230" s="250"/>
      <c r="AU230" s="250"/>
      <c r="AV230" s="250"/>
      <c r="AW230" s="250"/>
      <c r="AX230" s="250"/>
      <c r="AY230" s="250"/>
    </row>
    <row r="231" spans="1:27" s="211" customFormat="1" ht="27.75" customHeight="1">
      <c r="A231" s="114" t="s">
        <v>194</v>
      </c>
      <c r="B231" s="115"/>
      <c r="C231" s="114" t="s">
        <v>293</v>
      </c>
      <c r="D231" s="343"/>
      <c r="E231" s="343"/>
      <c r="F231" s="343"/>
      <c r="G231" s="343"/>
      <c r="H231" s="88">
        <v>2</v>
      </c>
      <c r="I231" s="89">
        <v>6</v>
      </c>
      <c r="J231" s="90"/>
      <c r="K231" s="90"/>
      <c r="L231" s="90"/>
      <c r="M231" s="90"/>
      <c r="N231" s="91"/>
      <c r="O231" s="92"/>
      <c r="P231" s="206"/>
      <c r="Q231" s="206"/>
      <c r="R231" s="206"/>
      <c r="S231" s="94"/>
      <c r="T231" s="95"/>
      <c r="U231" s="93"/>
      <c r="V231" s="355"/>
      <c r="W231" s="90"/>
      <c r="X231" s="96">
        <f t="shared" si="8"/>
        <v>0</v>
      </c>
      <c r="Y231" s="97"/>
      <c r="Z231" s="217"/>
      <c r="AA231" s="406" t="s">
        <v>294</v>
      </c>
    </row>
    <row r="232" spans="1:27" s="211" customFormat="1" ht="27.75" customHeight="1">
      <c r="A232" s="114" t="s">
        <v>194</v>
      </c>
      <c r="B232" s="115">
        <v>3</v>
      </c>
      <c r="C232" s="114" t="s">
        <v>295</v>
      </c>
      <c r="D232" s="87"/>
      <c r="E232" s="87"/>
      <c r="F232" s="87"/>
      <c r="G232" s="87"/>
      <c r="H232" s="88"/>
      <c r="I232" s="117"/>
      <c r="J232" s="93"/>
      <c r="K232" s="93"/>
      <c r="L232" s="93"/>
      <c r="M232" s="93"/>
      <c r="N232" s="91">
        <v>1</v>
      </c>
      <c r="O232" s="92">
        <v>2</v>
      </c>
      <c r="P232" s="206"/>
      <c r="Q232" s="206"/>
      <c r="R232" s="206"/>
      <c r="S232" s="94"/>
      <c r="T232" s="95"/>
      <c r="U232" s="206"/>
      <c r="V232" s="206"/>
      <c r="W232" s="206"/>
      <c r="X232" s="96">
        <f t="shared" si="8"/>
        <v>0</v>
      </c>
      <c r="Y232" s="97"/>
      <c r="Z232" s="217"/>
      <c r="AA232" s="406" t="s">
        <v>294</v>
      </c>
    </row>
    <row r="233" spans="1:27" s="211" customFormat="1" ht="27.75" customHeight="1">
      <c r="A233" s="114" t="s">
        <v>194</v>
      </c>
      <c r="B233" s="115">
        <v>4</v>
      </c>
      <c r="C233" s="114" t="s">
        <v>296</v>
      </c>
      <c r="D233" s="349"/>
      <c r="E233" s="349"/>
      <c r="F233" s="349"/>
      <c r="G233" s="349"/>
      <c r="H233" s="88"/>
      <c r="I233" s="117"/>
      <c r="J233" s="93"/>
      <c r="K233" s="93"/>
      <c r="L233" s="93"/>
      <c r="M233" s="93"/>
      <c r="N233" s="91"/>
      <c r="O233" s="92"/>
      <c r="P233" s="90"/>
      <c r="Q233" s="93"/>
      <c r="R233" s="90"/>
      <c r="S233" s="94">
        <v>3</v>
      </c>
      <c r="T233" s="95">
        <v>2</v>
      </c>
      <c r="U233" s="206"/>
      <c r="V233" s="206"/>
      <c r="W233" s="206"/>
      <c r="X233" s="96">
        <f t="shared" si="8"/>
        <v>0</v>
      </c>
      <c r="Y233" s="97"/>
      <c r="Z233" s="217"/>
      <c r="AA233" s="406" t="s">
        <v>294</v>
      </c>
    </row>
    <row r="234" spans="1:27" s="211" customFormat="1" ht="27.75" customHeight="1">
      <c r="A234" s="114" t="s">
        <v>203</v>
      </c>
      <c r="B234" s="115">
        <v>1</v>
      </c>
      <c r="C234" s="114" t="s">
        <v>297</v>
      </c>
      <c r="D234" s="407"/>
      <c r="E234" s="408"/>
      <c r="F234" s="407"/>
      <c r="G234" s="408"/>
      <c r="H234" s="350">
        <v>1</v>
      </c>
      <c r="I234" s="354">
        <v>4</v>
      </c>
      <c r="J234" s="342"/>
      <c r="K234" s="342"/>
      <c r="L234" s="342"/>
      <c r="M234" s="342"/>
      <c r="N234" s="351">
        <v>1</v>
      </c>
      <c r="O234" s="92">
        <v>1</v>
      </c>
      <c r="P234" s="89"/>
      <c r="Q234" s="354"/>
      <c r="R234" s="354"/>
      <c r="S234" s="94">
        <v>3</v>
      </c>
      <c r="T234" s="353">
        <v>2</v>
      </c>
      <c r="U234" s="89"/>
      <c r="V234" s="117"/>
      <c r="W234" s="89"/>
      <c r="X234" s="96">
        <f t="shared" si="8"/>
        <v>0</v>
      </c>
      <c r="Y234" s="124"/>
      <c r="Z234" s="217"/>
      <c r="AA234" s="406" t="s">
        <v>294</v>
      </c>
    </row>
    <row r="235" spans="1:27" s="250" customFormat="1" ht="27.75" customHeight="1">
      <c r="A235" s="114" t="s">
        <v>203</v>
      </c>
      <c r="B235" s="115">
        <v>2</v>
      </c>
      <c r="C235" s="114" t="s">
        <v>298</v>
      </c>
      <c r="D235" s="407">
        <v>0.54</v>
      </c>
      <c r="E235" s="408">
        <v>0.43</v>
      </c>
      <c r="F235" s="407">
        <v>0.58</v>
      </c>
      <c r="G235" s="408">
        <v>0.33</v>
      </c>
      <c r="H235" s="350">
        <v>1</v>
      </c>
      <c r="I235" s="354">
        <v>6.5</v>
      </c>
      <c r="J235" s="90"/>
      <c r="K235" s="90"/>
      <c r="L235" s="90"/>
      <c r="M235" s="90"/>
      <c r="N235" s="351"/>
      <c r="O235" s="92"/>
      <c r="P235" s="206"/>
      <c r="Q235" s="355"/>
      <c r="R235" s="355"/>
      <c r="S235" s="94"/>
      <c r="T235" s="353"/>
      <c r="U235" s="93"/>
      <c r="V235" s="93"/>
      <c r="W235" s="93"/>
      <c r="X235" s="96">
        <f t="shared" si="8"/>
        <v>0</v>
      </c>
      <c r="Y235" s="97"/>
      <c r="Z235" s="246"/>
      <c r="AA235" s="403" t="s">
        <v>299</v>
      </c>
    </row>
    <row r="236" spans="1:27" s="211" customFormat="1" ht="27.75" customHeight="1">
      <c r="A236" s="114" t="s">
        <v>203</v>
      </c>
      <c r="B236" s="115">
        <v>3</v>
      </c>
      <c r="C236" s="114" t="s">
        <v>300</v>
      </c>
      <c r="D236" s="370">
        <v>0.7</v>
      </c>
      <c r="E236" s="370">
        <v>0.51</v>
      </c>
      <c r="F236" s="370">
        <v>0.79</v>
      </c>
      <c r="G236" s="370">
        <v>0.53</v>
      </c>
      <c r="H236" s="350">
        <v>1</v>
      </c>
      <c r="I236" s="354">
        <v>6</v>
      </c>
      <c r="J236" s="90"/>
      <c r="K236" s="90"/>
      <c r="L236" s="90"/>
      <c r="M236" s="90"/>
      <c r="N236" s="351"/>
      <c r="O236" s="382"/>
      <c r="P236" s="206"/>
      <c r="Q236" s="206"/>
      <c r="R236" s="206"/>
      <c r="S236" s="94"/>
      <c r="T236" s="353"/>
      <c r="U236" s="93"/>
      <c r="V236" s="93"/>
      <c r="W236" s="93"/>
      <c r="X236" s="96">
        <f t="shared" si="8"/>
        <v>0</v>
      </c>
      <c r="Y236" s="97"/>
      <c r="Z236" s="217"/>
      <c r="AA236" s="406" t="s">
        <v>299</v>
      </c>
    </row>
    <row r="237" spans="1:27" s="211" customFormat="1" ht="27.75" customHeight="1">
      <c r="A237" s="114" t="s">
        <v>203</v>
      </c>
      <c r="B237" s="115"/>
      <c r="C237" s="114" t="s">
        <v>301</v>
      </c>
      <c r="D237" s="349"/>
      <c r="E237" s="349"/>
      <c r="F237" s="349"/>
      <c r="G237" s="349"/>
      <c r="H237" s="350">
        <v>1</v>
      </c>
      <c r="I237" s="354">
        <v>6</v>
      </c>
      <c r="J237" s="206"/>
      <c r="K237" s="206"/>
      <c r="L237" s="355"/>
      <c r="M237" s="355"/>
      <c r="N237" s="351"/>
      <c r="O237" s="382"/>
      <c r="P237" s="206"/>
      <c r="Q237" s="206"/>
      <c r="R237" s="206"/>
      <c r="S237" s="364"/>
      <c r="T237" s="353"/>
      <c r="U237" s="355"/>
      <c r="V237" s="355"/>
      <c r="W237" s="355"/>
      <c r="X237" s="96">
        <f t="shared" si="8"/>
        <v>0</v>
      </c>
      <c r="Y237" s="97"/>
      <c r="Z237" s="217"/>
      <c r="AA237" s="406" t="s">
        <v>299</v>
      </c>
    </row>
    <row r="238" spans="1:27" s="211" customFormat="1" ht="27.75" customHeight="1">
      <c r="A238" s="114" t="s">
        <v>88</v>
      </c>
      <c r="B238" s="115">
        <v>1</v>
      </c>
      <c r="C238" s="114" t="s">
        <v>302</v>
      </c>
      <c r="D238" s="409"/>
      <c r="E238" s="409"/>
      <c r="F238" s="409"/>
      <c r="G238" s="409"/>
      <c r="H238" s="88">
        <v>1</v>
      </c>
      <c r="I238" s="89">
        <v>6</v>
      </c>
      <c r="J238" s="89"/>
      <c r="K238" s="117"/>
      <c r="L238" s="117"/>
      <c r="M238" s="89"/>
      <c r="N238" s="410"/>
      <c r="O238" s="411"/>
      <c r="P238" s="342"/>
      <c r="Q238" s="342"/>
      <c r="R238" s="342"/>
      <c r="S238" s="117"/>
      <c r="T238" s="395"/>
      <c r="U238" s="117"/>
      <c r="V238" s="117"/>
      <c r="W238" s="117"/>
      <c r="X238" s="336">
        <f t="shared" si="8"/>
        <v>0</v>
      </c>
      <c r="Y238" s="412"/>
      <c r="Z238" s="217"/>
      <c r="AA238" s="406" t="s">
        <v>299</v>
      </c>
    </row>
    <row r="239" spans="1:29" s="250" customFormat="1" ht="27.75" customHeight="1">
      <c r="A239" s="114" t="s">
        <v>88</v>
      </c>
      <c r="B239" s="115">
        <v>2</v>
      </c>
      <c r="C239" s="114" t="s">
        <v>303</v>
      </c>
      <c r="D239" s="370"/>
      <c r="E239" s="370"/>
      <c r="F239" s="370"/>
      <c r="G239" s="370"/>
      <c r="H239" s="88">
        <v>1</v>
      </c>
      <c r="I239" s="89">
        <v>6</v>
      </c>
      <c r="J239" s="90"/>
      <c r="K239" s="93"/>
      <c r="L239" s="93"/>
      <c r="M239" s="90"/>
      <c r="N239" s="135"/>
      <c r="O239" s="92"/>
      <c r="P239" s="206"/>
      <c r="Q239" s="206"/>
      <c r="R239" s="206"/>
      <c r="S239" s="167"/>
      <c r="T239" s="373"/>
      <c r="U239" s="93"/>
      <c r="V239" s="93"/>
      <c r="W239" s="93"/>
      <c r="X239" s="96">
        <f t="shared" si="8"/>
        <v>0</v>
      </c>
      <c r="Y239" s="413"/>
      <c r="Z239" s="246"/>
      <c r="AA239" s="414" t="s">
        <v>304</v>
      </c>
      <c r="AB239" s="250">
        <f>G237-F237</f>
        <v>0</v>
      </c>
      <c r="AC239" s="250">
        <f>+G237</f>
        <v>0</v>
      </c>
    </row>
    <row r="240" spans="1:29" s="211" customFormat="1" ht="27.75" customHeight="1">
      <c r="A240" s="114" t="s">
        <v>88</v>
      </c>
      <c r="B240" s="115">
        <v>3</v>
      </c>
      <c r="C240" s="114" t="s">
        <v>305</v>
      </c>
      <c r="D240" s="370"/>
      <c r="E240" s="370"/>
      <c r="F240" s="370"/>
      <c r="G240" s="370"/>
      <c r="H240" s="88">
        <v>1</v>
      </c>
      <c r="I240" s="89">
        <v>4</v>
      </c>
      <c r="J240" s="90"/>
      <c r="K240" s="93"/>
      <c r="L240" s="93"/>
      <c r="M240" s="90"/>
      <c r="N240" s="91"/>
      <c r="O240" s="149"/>
      <c r="P240" s="206"/>
      <c r="Q240" s="206"/>
      <c r="R240" s="206"/>
      <c r="S240" s="94">
        <v>0.25</v>
      </c>
      <c r="T240" s="353">
        <v>1</v>
      </c>
      <c r="U240" s="355"/>
      <c r="V240" s="90"/>
      <c r="W240" s="90"/>
      <c r="X240" s="96">
        <f t="shared" si="8"/>
        <v>0</v>
      </c>
      <c r="Y240" s="97"/>
      <c r="Z240" s="217"/>
      <c r="AA240" s="207" t="s">
        <v>304</v>
      </c>
      <c r="AB240" s="211" t="e">
        <f>#N/A</f>
        <v>#N/A</v>
      </c>
      <c r="AC240" s="211" t="e">
        <f>#N/A</f>
        <v>#N/A</v>
      </c>
    </row>
    <row r="241" spans="1:34" s="211" customFormat="1" ht="27.75" customHeight="1">
      <c r="A241" s="114" t="s">
        <v>88</v>
      </c>
      <c r="B241" s="115">
        <v>4</v>
      </c>
      <c r="C241" s="114" t="s">
        <v>306</v>
      </c>
      <c r="D241" s="370"/>
      <c r="E241" s="370"/>
      <c r="F241" s="370"/>
      <c r="G241" s="370"/>
      <c r="H241" s="88">
        <v>1</v>
      </c>
      <c r="I241" s="89">
        <v>4</v>
      </c>
      <c r="J241" s="90"/>
      <c r="K241" s="93"/>
      <c r="L241" s="93"/>
      <c r="M241" s="90"/>
      <c r="N241" s="91"/>
      <c r="O241" s="149"/>
      <c r="P241" s="206"/>
      <c r="Q241" s="206"/>
      <c r="R241" s="206"/>
      <c r="S241" s="94">
        <v>0.25</v>
      </c>
      <c r="T241" s="353">
        <v>1</v>
      </c>
      <c r="U241" s="355"/>
      <c r="V241" s="90"/>
      <c r="W241" s="90"/>
      <c r="X241" s="96">
        <f t="shared" si="8"/>
        <v>0</v>
      </c>
      <c r="Y241" s="97"/>
      <c r="Z241" s="217"/>
      <c r="AA241" s="406" t="s">
        <v>304</v>
      </c>
      <c r="AB241" s="404" t="e">
        <f>#N/A</f>
        <v>#N/A</v>
      </c>
      <c r="AC241" s="405" t="e">
        <f>#N/A</f>
        <v>#N/A</v>
      </c>
      <c r="AD241" s="374"/>
      <c r="AE241" s="374"/>
      <c r="AF241" s="374"/>
      <c r="AG241" s="375"/>
      <c r="AH241" s="374"/>
    </row>
    <row r="242" spans="1:34" s="211" customFormat="1" ht="27.75" customHeight="1">
      <c r="A242" s="114" t="s">
        <v>88</v>
      </c>
      <c r="B242" s="115">
        <v>5</v>
      </c>
      <c r="C242" s="114" t="s">
        <v>307</v>
      </c>
      <c r="D242" s="370"/>
      <c r="E242" s="370"/>
      <c r="F242" s="370"/>
      <c r="G242" s="370"/>
      <c r="H242" s="88">
        <v>1</v>
      </c>
      <c r="I242" s="89">
        <v>4</v>
      </c>
      <c r="J242" s="90"/>
      <c r="K242" s="93"/>
      <c r="L242" s="93"/>
      <c r="M242" s="90"/>
      <c r="N242" s="91">
        <v>0.5</v>
      </c>
      <c r="O242" s="92">
        <v>2</v>
      </c>
      <c r="P242" s="90"/>
      <c r="Q242" s="355"/>
      <c r="R242" s="90"/>
      <c r="S242" s="167"/>
      <c r="T242" s="373"/>
      <c r="U242" s="93"/>
      <c r="V242" s="93"/>
      <c r="W242" s="93"/>
      <c r="X242" s="96">
        <f t="shared" si="8"/>
        <v>0</v>
      </c>
      <c r="Y242" s="97"/>
      <c r="Z242" s="217"/>
      <c r="AA242" s="406" t="s">
        <v>304</v>
      </c>
      <c r="AB242" s="404" t="e">
        <f>#N/A</f>
        <v>#N/A</v>
      </c>
      <c r="AC242" s="405" t="e">
        <f>#N/A</f>
        <v>#N/A</v>
      </c>
      <c r="AD242" s="374"/>
      <c r="AE242" s="374"/>
      <c r="AF242" s="374"/>
      <c r="AG242" s="375"/>
      <c r="AH242" s="374"/>
    </row>
    <row r="243" spans="1:29" s="211" customFormat="1" ht="27.75" customHeight="1">
      <c r="A243" s="114" t="s">
        <v>88</v>
      </c>
      <c r="B243" s="115">
        <v>6</v>
      </c>
      <c r="C243" s="114" t="s">
        <v>308</v>
      </c>
      <c r="D243" s="370"/>
      <c r="E243" s="370"/>
      <c r="F243" s="370"/>
      <c r="G243" s="370"/>
      <c r="H243" s="88">
        <v>1</v>
      </c>
      <c r="I243" s="89">
        <v>4</v>
      </c>
      <c r="J243" s="90"/>
      <c r="K243" s="93"/>
      <c r="L243" s="93"/>
      <c r="M243" s="90"/>
      <c r="N243" s="135"/>
      <c r="O243" s="92"/>
      <c r="P243" s="90"/>
      <c r="Q243" s="90"/>
      <c r="R243" s="90"/>
      <c r="S243" s="94"/>
      <c r="T243" s="95"/>
      <c r="U243" s="93"/>
      <c r="V243" s="93"/>
      <c r="W243" s="93"/>
      <c r="X243" s="96">
        <f t="shared" si="8"/>
        <v>0</v>
      </c>
      <c r="Y243" s="413"/>
      <c r="Z243" s="217"/>
      <c r="AA243" s="406" t="s">
        <v>304</v>
      </c>
      <c r="AB243" s="404" t="e">
        <f>#N/A</f>
        <v>#N/A</v>
      </c>
      <c r="AC243" s="405" t="e">
        <f>#N/A</f>
        <v>#N/A</v>
      </c>
    </row>
    <row r="244" spans="1:29" s="211" customFormat="1" ht="27.75" customHeight="1">
      <c r="A244" s="114" t="s">
        <v>88</v>
      </c>
      <c r="B244" s="115">
        <v>7</v>
      </c>
      <c r="C244" s="114" t="s">
        <v>309</v>
      </c>
      <c r="D244" s="370"/>
      <c r="E244" s="370"/>
      <c r="F244" s="370"/>
      <c r="G244" s="370"/>
      <c r="H244" s="88">
        <v>1</v>
      </c>
      <c r="I244" s="89">
        <v>6</v>
      </c>
      <c r="J244" s="90"/>
      <c r="K244" s="93"/>
      <c r="L244" s="93"/>
      <c r="M244" s="90"/>
      <c r="N244" s="91"/>
      <c r="O244" s="149"/>
      <c r="P244" s="93"/>
      <c r="Q244" s="93"/>
      <c r="R244" s="93"/>
      <c r="S244" s="167"/>
      <c r="T244" s="373"/>
      <c r="U244" s="93"/>
      <c r="V244" s="93"/>
      <c r="W244" s="93"/>
      <c r="X244" s="96">
        <f t="shared" si="8"/>
        <v>0</v>
      </c>
      <c r="Y244" s="97"/>
      <c r="Z244" s="217"/>
      <c r="AA244" s="207" t="s">
        <v>304</v>
      </c>
      <c r="AB244" s="211" t="e">
        <f>#N/A</f>
        <v>#N/A</v>
      </c>
      <c r="AC244" s="211" t="e">
        <f>#N/A</f>
        <v>#N/A</v>
      </c>
    </row>
    <row r="245" spans="1:29" s="211" customFormat="1" ht="27.75" customHeight="1">
      <c r="A245" s="114" t="s">
        <v>88</v>
      </c>
      <c r="B245" s="115">
        <v>8</v>
      </c>
      <c r="C245" s="114" t="s">
        <v>310</v>
      </c>
      <c r="D245" s="370"/>
      <c r="E245" s="370"/>
      <c r="F245" s="370"/>
      <c r="G245" s="370"/>
      <c r="H245" s="88">
        <v>1</v>
      </c>
      <c r="I245" s="89">
        <v>4</v>
      </c>
      <c r="J245" s="90"/>
      <c r="K245" s="93"/>
      <c r="L245" s="93"/>
      <c r="M245" s="90"/>
      <c r="N245" s="135"/>
      <c r="O245" s="92"/>
      <c r="P245" s="90"/>
      <c r="Q245" s="90"/>
      <c r="R245" s="90"/>
      <c r="S245" s="94"/>
      <c r="T245" s="95"/>
      <c r="U245" s="93"/>
      <c r="V245" s="93"/>
      <c r="W245" s="93"/>
      <c r="X245" s="96">
        <f t="shared" si="8"/>
        <v>0</v>
      </c>
      <c r="Y245" s="413"/>
      <c r="Z245" s="217"/>
      <c r="AA245" s="406" t="s">
        <v>304</v>
      </c>
      <c r="AB245" s="404" t="e">
        <f>#N/A</f>
        <v>#N/A</v>
      </c>
      <c r="AC245" s="405" t="e">
        <f>#N/A</f>
        <v>#N/A</v>
      </c>
    </row>
    <row r="246" spans="1:34" s="211" customFormat="1" ht="27.75" customHeight="1">
      <c r="A246" s="114" t="s">
        <v>88</v>
      </c>
      <c r="B246" s="115">
        <v>9</v>
      </c>
      <c r="C246" s="114" t="s">
        <v>311</v>
      </c>
      <c r="D246" s="370"/>
      <c r="E246" s="370"/>
      <c r="F246" s="370"/>
      <c r="G246" s="370"/>
      <c r="H246" s="88">
        <v>1</v>
      </c>
      <c r="I246" s="89">
        <v>4</v>
      </c>
      <c r="J246" s="90"/>
      <c r="K246" s="93"/>
      <c r="L246" s="93"/>
      <c r="M246" s="90"/>
      <c r="N246" s="91"/>
      <c r="O246" s="149"/>
      <c r="P246" s="93"/>
      <c r="Q246" s="93"/>
      <c r="R246" s="93"/>
      <c r="S246" s="167">
        <v>1</v>
      </c>
      <c r="T246" s="353">
        <v>2</v>
      </c>
      <c r="U246" s="355"/>
      <c r="V246" s="90"/>
      <c r="W246" s="90"/>
      <c r="X246" s="96">
        <f t="shared" si="8"/>
        <v>0</v>
      </c>
      <c r="Y246" s="97"/>
      <c r="Z246" s="217"/>
      <c r="AA246" s="207" t="s">
        <v>304</v>
      </c>
      <c r="AB246" s="211" t="e">
        <f>#N/A</f>
        <v>#N/A</v>
      </c>
      <c r="AC246" s="211" t="e">
        <f>#N/A</f>
        <v>#N/A</v>
      </c>
      <c r="AD246" s="374"/>
      <c r="AE246" s="374"/>
      <c r="AF246" s="374"/>
      <c r="AG246" s="375"/>
      <c r="AH246" s="374"/>
    </row>
    <row r="247" spans="1:29" s="211" customFormat="1" ht="27.75" customHeight="1">
      <c r="A247" s="114" t="s">
        <v>88</v>
      </c>
      <c r="B247" s="115">
        <v>10</v>
      </c>
      <c r="C247" s="114" t="s">
        <v>312</v>
      </c>
      <c r="D247" s="370"/>
      <c r="E247" s="370"/>
      <c r="F247" s="370"/>
      <c r="G247" s="370"/>
      <c r="H247" s="88">
        <v>1</v>
      </c>
      <c r="I247" s="89">
        <v>6</v>
      </c>
      <c r="J247" s="90"/>
      <c r="K247" s="93"/>
      <c r="L247" s="93"/>
      <c r="M247" s="90"/>
      <c r="N247" s="91"/>
      <c r="O247" s="149"/>
      <c r="P247" s="93"/>
      <c r="Q247" s="93"/>
      <c r="R247" s="93"/>
      <c r="S247" s="167"/>
      <c r="T247" s="373"/>
      <c r="U247" s="93"/>
      <c r="V247" s="93"/>
      <c r="W247" s="93"/>
      <c r="X247" s="96">
        <f t="shared" si="8"/>
        <v>0</v>
      </c>
      <c r="Y247" s="97"/>
      <c r="Z247" s="217"/>
      <c r="AA247" s="406" t="s">
        <v>304</v>
      </c>
      <c r="AB247" s="404" t="e">
        <f>#N/A</f>
        <v>#N/A</v>
      </c>
      <c r="AC247" s="405" t="e">
        <f>#N/A</f>
        <v>#N/A</v>
      </c>
    </row>
    <row r="248" spans="1:34" s="211" customFormat="1" ht="27.75" customHeight="1">
      <c r="A248" s="114" t="s">
        <v>88</v>
      </c>
      <c r="B248" s="115">
        <v>11</v>
      </c>
      <c r="C248" s="114" t="s">
        <v>313</v>
      </c>
      <c r="D248" s="370"/>
      <c r="E248" s="370"/>
      <c r="F248" s="370"/>
      <c r="G248" s="370"/>
      <c r="H248" s="88">
        <v>1</v>
      </c>
      <c r="I248" s="89">
        <v>4</v>
      </c>
      <c r="J248" s="90"/>
      <c r="K248" s="93"/>
      <c r="L248" s="93"/>
      <c r="M248" s="90"/>
      <c r="N248" s="91"/>
      <c r="O248" s="149"/>
      <c r="P248" s="93"/>
      <c r="Q248" s="93"/>
      <c r="R248" s="93"/>
      <c r="S248" s="167"/>
      <c r="T248" s="373"/>
      <c r="U248" s="93"/>
      <c r="V248" s="93"/>
      <c r="W248" s="93"/>
      <c r="X248" s="96">
        <f t="shared" si="8"/>
        <v>0</v>
      </c>
      <c r="Y248" s="97"/>
      <c r="Z248" s="217"/>
      <c r="AA248" s="406" t="s">
        <v>304</v>
      </c>
      <c r="AB248" s="404" t="e">
        <f>#N/A</f>
        <v>#N/A</v>
      </c>
      <c r="AC248" s="405" t="e">
        <f>#N/A</f>
        <v>#N/A</v>
      </c>
      <c r="AD248" s="374"/>
      <c r="AE248" s="374"/>
      <c r="AF248" s="374"/>
      <c r="AG248" s="375"/>
      <c r="AH248" s="374"/>
    </row>
    <row r="249" spans="1:29" s="211" customFormat="1" ht="27.75" customHeight="1">
      <c r="A249" s="114" t="s">
        <v>88</v>
      </c>
      <c r="B249" s="115">
        <v>12</v>
      </c>
      <c r="C249" s="114" t="s">
        <v>314</v>
      </c>
      <c r="D249" s="370"/>
      <c r="E249" s="370"/>
      <c r="F249" s="370"/>
      <c r="G249" s="370"/>
      <c r="H249" s="88">
        <v>1</v>
      </c>
      <c r="I249" s="89">
        <v>4</v>
      </c>
      <c r="J249" s="90"/>
      <c r="K249" s="90"/>
      <c r="L249" s="93"/>
      <c r="M249" s="90"/>
      <c r="N249" s="91">
        <v>1</v>
      </c>
      <c r="O249" s="92">
        <v>2</v>
      </c>
      <c r="P249" s="90"/>
      <c r="Q249" s="90"/>
      <c r="R249" s="89"/>
      <c r="S249" s="167"/>
      <c r="T249" s="373"/>
      <c r="U249" s="93"/>
      <c r="V249" s="93"/>
      <c r="W249" s="93"/>
      <c r="X249" s="96">
        <f t="shared" si="8"/>
        <v>0</v>
      </c>
      <c r="Y249" s="97"/>
      <c r="Z249" s="217"/>
      <c r="AA249" s="406" t="s">
        <v>304</v>
      </c>
      <c r="AB249" s="404" t="e">
        <f>#N/A</f>
        <v>#N/A</v>
      </c>
      <c r="AC249" s="405" t="e">
        <f>#N/A</f>
        <v>#N/A</v>
      </c>
    </row>
    <row r="250" spans="1:29" s="211" customFormat="1" ht="27.75" customHeight="1">
      <c r="A250" s="114" t="s">
        <v>88</v>
      </c>
      <c r="B250" s="115">
        <v>13</v>
      </c>
      <c r="C250" s="114" t="s">
        <v>315</v>
      </c>
      <c r="D250" s="370"/>
      <c r="E250" s="370"/>
      <c r="F250" s="370"/>
      <c r="G250" s="370"/>
      <c r="H250" s="88">
        <v>1</v>
      </c>
      <c r="I250" s="89">
        <v>6</v>
      </c>
      <c r="J250" s="90"/>
      <c r="K250" s="90"/>
      <c r="L250" s="93"/>
      <c r="M250" s="90"/>
      <c r="N250" s="91">
        <v>2</v>
      </c>
      <c r="O250" s="92">
        <v>2</v>
      </c>
      <c r="P250" s="90"/>
      <c r="Q250" s="89"/>
      <c r="R250" s="89"/>
      <c r="S250" s="167"/>
      <c r="T250" s="373"/>
      <c r="U250" s="93"/>
      <c r="V250" s="93"/>
      <c r="W250" s="93"/>
      <c r="X250" s="96">
        <f t="shared" si="8"/>
        <v>0</v>
      </c>
      <c r="Y250" s="97"/>
      <c r="Z250" s="217"/>
      <c r="AA250" s="406" t="s">
        <v>304</v>
      </c>
      <c r="AB250" s="404" t="e">
        <f>#N/A</f>
        <v>#N/A</v>
      </c>
      <c r="AC250" s="405" t="e">
        <f>#N/A</f>
        <v>#N/A</v>
      </c>
    </row>
    <row r="251" spans="1:29" s="211" customFormat="1" ht="27.75" customHeight="1">
      <c r="A251" s="114" t="s">
        <v>88</v>
      </c>
      <c r="B251" s="115">
        <v>14</v>
      </c>
      <c r="C251" s="114" t="s">
        <v>316</v>
      </c>
      <c r="D251" s="370"/>
      <c r="E251" s="370"/>
      <c r="F251" s="370"/>
      <c r="G251" s="370"/>
      <c r="H251" s="88">
        <v>0.85</v>
      </c>
      <c r="I251" s="89">
        <v>4</v>
      </c>
      <c r="J251" s="90"/>
      <c r="K251" s="90"/>
      <c r="L251" s="93"/>
      <c r="M251" s="90"/>
      <c r="N251" s="91">
        <v>1</v>
      </c>
      <c r="O251" s="92">
        <v>2</v>
      </c>
      <c r="P251" s="90"/>
      <c r="Q251" s="89"/>
      <c r="R251" s="89"/>
      <c r="S251" s="167"/>
      <c r="T251" s="373"/>
      <c r="U251" s="93"/>
      <c r="V251" s="93"/>
      <c r="W251" s="93"/>
      <c r="X251" s="96">
        <f t="shared" si="8"/>
        <v>0</v>
      </c>
      <c r="Y251" s="97"/>
      <c r="Z251" s="217"/>
      <c r="AA251" s="406" t="s">
        <v>304</v>
      </c>
      <c r="AB251" s="404" t="e">
        <f>#N/A</f>
        <v>#N/A</v>
      </c>
      <c r="AC251" s="405" t="e">
        <f>#N/A</f>
        <v>#N/A</v>
      </c>
    </row>
    <row r="252" spans="1:29" s="211" customFormat="1" ht="27.75" customHeight="1">
      <c r="A252" s="114" t="s">
        <v>88</v>
      </c>
      <c r="B252" s="115">
        <v>15</v>
      </c>
      <c r="C252" s="114" t="s">
        <v>317</v>
      </c>
      <c r="D252" s="370"/>
      <c r="E252" s="370"/>
      <c r="F252" s="370"/>
      <c r="G252" s="370"/>
      <c r="H252" s="88">
        <v>1</v>
      </c>
      <c r="I252" s="89">
        <v>4</v>
      </c>
      <c r="J252" s="90"/>
      <c r="K252" s="90"/>
      <c r="L252" s="93"/>
      <c r="M252" s="90"/>
      <c r="N252" s="91"/>
      <c r="O252" s="92"/>
      <c r="P252" s="93"/>
      <c r="Q252" s="93"/>
      <c r="R252" s="93"/>
      <c r="S252" s="167"/>
      <c r="T252" s="373"/>
      <c r="U252" s="93"/>
      <c r="V252" s="93"/>
      <c r="W252" s="93"/>
      <c r="X252" s="96">
        <f t="shared" si="8"/>
        <v>0</v>
      </c>
      <c r="Y252" s="97"/>
      <c r="Z252" s="217"/>
      <c r="AA252" s="406" t="s">
        <v>304</v>
      </c>
      <c r="AB252" s="404" t="e">
        <f>#N/A</f>
        <v>#N/A</v>
      </c>
      <c r="AC252" s="405" t="e">
        <f>#N/A</f>
        <v>#N/A</v>
      </c>
    </row>
    <row r="253" spans="1:29" s="211" customFormat="1" ht="27.75" customHeight="1">
      <c r="A253" s="114" t="s">
        <v>88</v>
      </c>
      <c r="B253" s="115">
        <v>16</v>
      </c>
      <c r="C253" s="114" t="s">
        <v>318</v>
      </c>
      <c r="D253" s="370"/>
      <c r="E253" s="370"/>
      <c r="F253" s="370"/>
      <c r="G253" s="370"/>
      <c r="H253" s="88">
        <v>1</v>
      </c>
      <c r="I253" s="89">
        <v>6</v>
      </c>
      <c r="J253" s="89"/>
      <c r="K253" s="89"/>
      <c r="L253" s="117"/>
      <c r="M253" s="90"/>
      <c r="N253" s="91">
        <v>3</v>
      </c>
      <c r="O253" s="92">
        <v>2</v>
      </c>
      <c r="P253" s="90"/>
      <c r="Q253" s="89"/>
      <c r="R253" s="89"/>
      <c r="S253" s="167"/>
      <c r="T253" s="373"/>
      <c r="U253" s="93"/>
      <c r="V253" s="117"/>
      <c r="W253" s="117"/>
      <c r="X253" s="96">
        <f t="shared" si="8"/>
        <v>0</v>
      </c>
      <c r="Y253" s="97"/>
      <c r="Z253" s="217"/>
      <c r="AA253" s="406" t="s">
        <v>304</v>
      </c>
      <c r="AB253" s="404" t="e">
        <f>#N/A</f>
        <v>#N/A</v>
      </c>
      <c r="AC253" s="405" t="e">
        <f>#N/A</f>
        <v>#N/A</v>
      </c>
    </row>
    <row r="254" spans="1:51" s="250" customFormat="1" ht="27.75" customHeight="1">
      <c r="A254" s="114" t="s">
        <v>88</v>
      </c>
      <c r="B254" s="115">
        <v>17</v>
      </c>
      <c r="C254" s="114" t="s">
        <v>319</v>
      </c>
      <c r="D254" s="370"/>
      <c r="E254" s="370"/>
      <c r="F254" s="370"/>
      <c r="G254" s="370"/>
      <c r="H254" s="88">
        <v>1</v>
      </c>
      <c r="I254" s="89">
        <v>6</v>
      </c>
      <c r="J254" s="89"/>
      <c r="K254" s="89"/>
      <c r="L254" s="117"/>
      <c r="M254" s="90"/>
      <c r="N254" s="91">
        <v>3</v>
      </c>
      <c r="O254" s="92">
        <v>1</v>
      </c>
      <c r="P254" s="90"/>
      <c r="Q254" s="89"/>
      <c r="R254" s="89"/>
      <c r="S254" s="167"/>
      <c r="T254" s="373"/>
      <c r="U254" s="93"/>
      <c r="V254" s="117"/>
      <c r="W254" s="117"/>
      <c r="X254" s="96">
        <f t="shared" si="8"/>
        <v>0</v>
      </c>
      <c r="Y254" s="97"/>
      <c r="Z254" s="246"/>
      <c r="AA254" s="403" t="s">
        <v>304</v>
      </c>
      <c r="AB254" s="404" t="e">
        <f>#N/A</f>
        <v>#N/A</v>
      </c>
      <c r="AC254" s="405" t="e">
        <f>#N/A</f>
        <v>#N/A</v>
      </c>
      <c r="AD254" s="211"/>
      <c r="AE254" s="211"/>
      <c r="AF254" s="211"/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Q254" s="211"/>
      <c r="AR254" s="211"/>
      <c r="AS254" s="211"/>
      <c r="AT254" s="211"/>
      <c r="AU254" s="211"/>
      <c r="AV254" s="211"/>
      <c r="AW254" s="211"/>
      <c r="AX254" s="211"/>
      <c r="AY254" s="211"/>
    </row>
    <row r="255" spans="1:51" s="250" customFormat="1" ht="27.75" customHeight="1">
      <c r="A255" s="114" t="s">
        <v>88</v>
      </c>
      <c r="B255" s="115">
        <v>18</v>
      </c>
      <c r="C255" s="114" t="s">
        <v>320</v>
      </c>
      <c r="D255" s="370"/>
      <c r="E255" s="370"/>
      <c r="F255" s="370"/>
      <c r="G255" s="370"/>
      <c r="H255" s="88">
        <v>1</v>
      </c>
      <c r="I255" s="89">
        <v>4</v>
      </c>
      <c r="J255" s="90"/>
      <c r="K255" s="93"/>
      <c r="L255" s="117"/>
      <c r="M255" s="90"/>
      <c r="N255" s="91"/>
      <c r="O255" s="92"/>
      <c r="P255" s="93"/>
      <c r="Q255" s="93"/>
      <c r="R255" s="93"/>
      <c r="S255" s="167"/>
      <c r="T255" s="373"/>
      <c r="U255" s="93"/>
      <c r="V255" s="93"/>
      <c r="W255" s="93"/>
      <c r="X255" s="96">
        <f t="shared" si="8"/>
        <v>0</v>
      </c>
      <c r="Y255" s="97"/>
      <c r="Z255" s="246"/>
      <c r="AA255" s="403" t="s">
        <v>304</v>
      </c>
      <c r="AB255" s="404" t="e">
        <f>#N/A</f>
        <v>#N/A</v>
      </c>
      <c r="AC255" s="405" t="e">
        <f>#N/A</f>
        <v>#N/A</v>
      </c>
      <c r="AD255" s="211"/>
      <c r="AE255" s="211"/>
      <c r="AF255" s="211"/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1"/>
      <c r="AX255" s="211"/>
      <c r="AY255" s="211"/>
    </row>
    <row r="256" spans="1:51" s="211" customFormat="1" ht="27.75" customHeight="1">
      <c r="A256" s="114" t="s">
        <v>88</v>
      </c>
      <c r="B256" s="115">
        <v>19</v>
      </c>
      <c r="C256" s="114" t="s">
        <v>321</v>
      </c>
      <c r="D256" s="370"/>
      <c r="E256" s="370"/>
      <c r="F256" s="370"/>
      <c r="G256" s="370"/>
      <c r="H256" s="88">
        <v>1</v>
      </c>
      <c r="I256" s="89">
        <v>4</v>
      </c>
      <c r="J256" s="90"/>
      <c r="K256" s="93"/>
      <c r="L256" s="93"/>
      <c r="M256" s="90"/>
      <c r="N256" s="91"/>
      <c r="O256" s="92"/>
      <c r="P256" s="93"/>
      <c r="Q256" s="93"/>
      <c r="R256" s="93"/>
      <c r="S256" s="167"/>
      <c r="T256" s="373"/>
      <c r="U256" s="93"/>
      <c r="V256" s="93"/>
      <c r="W256" s="93"/>
      <c r="X256" s="96">
        <f t="shared" si="8"/>
        <v>0</v>
      </c>
      <c r="Y256" s="415"/>
      <c r="Z256" s="217"/>
      <c r="AA256" s="406" t="s">
        <v>304</v>
      </c>
      <c r="AB256" s="404" t="e">
        <f>#N/A</f>
        <v>#N/A</v>
      </c>
      <c r="AC256" s="405" t="e">
        <f>#N/A</f>
        <v>#N/A</v>
      </c>
      <c r="AD256" s="250"/>
      <c r="AE256" s="250"/>
      <c r="AF256" s="250"/>
      <c r="AG256" s="250"/>
      <c r="AH256" s="250"/>
      <c r="AI256" s="250"/>
      <c r="AJ256" s="250"/>
      <c r="AK256" s="250"/>
      <c r="AL256" s="250"/>
      <c r="AM256" s="250"/>
      <c r="AN256" s="250"/>
      <c r="AO256" s="250"/>
      <c r="AP256" s="250"/>
      <c r="AQ256" s="250"/>
      <c r="AR256" s="250"/>
      <c r="AS256" s="250"/>
      <c r="AT256" s="250"/>
      <c r="AU256" s="250"/>
      <c r="AV256" s="250"/>
      <c r="AW256" s="250"/>
      <c r="AX256" s="250"/>
      <c r="AY256" s="250"/>
    </row>
    <row r="257" spans="1:51" s="211" customFormat="1" ht="27.75" customHeight="1">
      <c r="A257" s="114" t="s">
        <v>88</v>
      </c>
      <c r="B257" s="115">
        <v>20</v>
      </c>
      <c r="C257" s="114" t="s">
        <v>322</v>
      </c>
      <c r="D257" s="370"/>
      <c r="E257" s="370"/>
      <c r="F257" s="370"/>
      <c r="G257" s="370"/>
      <c r="H257" s="88">
        <v>1</v>
      </c>
      <c r="I257" s="89">
        <v>4</v>
      </c>
      <c r="J257" s="90"/>
      <c r="K257" s="93"/>
      <c r="L257" s="93"/>
      <c r="M257" s="90"/>
      <c r="N257" s="91"/>
      <c r="O257" s="92"/>
      <c r="P257" s="93"/>
      <c r="Q257" s="93"/>
      <c r="R257" s="90"/>
      <c r="S257" s="167"/>
      <c r="T257" s="373"/>
      <c r="U257" s="93"/>
      <c r="V257" s="93"/>
      <c r="W257" s="93"/>
      <c r="X257" s="96">
        <f t="shared" si="8"/>
        <v>0</v>
      </c>
      <c r="Y257" s="415"/>
      <c r="Z257" s="217"/>
      <c r="AA257" s="406" t="s">
        <v>304</v>
      </c>
      <c r="AB257" s="404" t="e">
        <f>#N/A</f>
        <v>#N/A</v>
      </c>
      <c r="AC257" s="405" t="e">
        <f>#N/A</f>
        <v>#N/A</v>
      </c>
      <c r="AD257" s="250"/>
      <c r="AE257" s="250"/>
      <c r="AF257" s="250"/>
      <c r="AG257" s="250"/>
      <c r="AH257" s="250"/>
      <c r="AI257" s="250"/>
      <c r="AJ257" s="250"/>
      <c r="AK257" s="250"/>
      <c r="AL257" s="250"/>
      <c r="AM257" s="250"/>
      <c r="AN257" s="250"/>
      <c r="AO257" s="250"/>
      <c r="AP257" s="250"/>
      <c r="AQ257" s="250"/>
      <c r="AR257" s="250"/>
      <c r="AS257" s="250"/>
      <c r="AT257" s="250"/>
      <c r="AU257" s="250"/>
      <c r="AV257" s="250"/>
      <c r="AW257" s="250"/>
      <c r="AX257" s="250"/>
      <c r="AY257" s="250"/>
    </row>
    <row r="258" spans="1:29" s="211" customFormat="1" ht="27.75" customHeight="1">
      <c r="A258" s="114" t="s">
        <v>88</v>
      </c>
      <c r="B258" s="115">
        <v>21</v>
      </c>
      <c r="C258" s="114" t="s">
        <v>323</v>
      </c>
      <c r="D258" s="370"/>
      <c r="E258" s="370"/>
      <c r="F258" s="370"/>
      <c r="G258" s="370"/>
      <c r="H258" s="88">
        <v>1</v>
      </c>
      <c r="I258" s="89" t="s">
        <v>324</v>
      </c>
      <c r="J258" s="90"/>
      <c r="K258" s="93"/>
      <c r="L258" s="117"/>
      <c r="M258" s="90"/>
      <c r="N258" s="91"/>
      <c r="O258" s="92"/>
      <c r="P258" s="93"/>
      <c r="Q258" s="93"/>
      <c r="R258" s="93"/>
      <c r="S258" s="167"/>
      <c r="T258" s="373"/>
      <c r="U258" s="93"/>
      <c r="V258" s="93"/>
      <c r="W258" s="93"/>
      <c r="X258" s="96">
        <f t="shared" si="8"/>
        <v>0</v>
      </c>
      <c r="Y258" s="97"/>
      <c r="Z258" s="217"/>
      <c r="AA258" s="406" t="s">
        <v>304</v>
      </c>
      <c r="AB258" s="404" t="e">
        <f>#N/A</f>
        <v>#N/A</v>
      </c>
      <c r="AC258" s="405" t="e">
        <f>#N/A</f>
        <v>#N/A</v>
      </c>
    </row>
    <row r="259" spans="1:29" s="211" customFormat="1" ht="27.75" customHeight="1">
      <c r="A259" s="114" t="s">
        <v>88</v>
      </c>
      <c r="B259" s="115">
        <v>22</v>
      </c>
      <c r="C259" s="114" t="s">
        <v>325</v>
      </c>
      <c r="D259" s="370"/>
      <c r="E259" s="370"/>
      <c r="F259" s="370"/>
      <c r="G259" s="370"/>
      <c r="H259" s="88">
        <v>1</v>
      </c>
      <c r="I259" s="89">
        <v>6</v>
      </c>
      <c r="J259" s="90"/>
      <c r="K259" s="89"/>
      <c r="L259" s="89"/>
      <c r="M259" s="90"/>
      <c r="N259" s="91">
        <v>2</v>
      </c>
      <c r="O259" s="92">
        <v>2</v>
      </c>
      <c r="P259" s="90"/>
      <c r="Q259" s="89"/>
      <c r="R259" s="89"/>
      <c r="S259" s="167"/>
      <c r="T259" s="373"/>
      <c r="U259" s="93"/>
      <c r="V259" s="93"/>
      <c r="W259" s="93"/>
      <c r="X259" s="96">
        <f t="shared" si="8"/>
        <v>0</v>
      </c>
      <c r="Y259" s="97"/>
      <c r="Z259" s="217"/>
      <c r="AA259" s="406" t="s">
        <v>304</v>
      </c>
      <c r="AB259" s="404" t="e">
        <f>#N/A</f>
        <v>#N/A</v>
      </c>
      <c r="AC259" s="405" t="e">
        <f>#N/A</f>
        <v>#N/A</v>
      </c>
    </row>
    <row r="260" spans="1:29" s="211" customFormat="1" ht="27.75" customHeight="1">
      <c r="A260" s="114" t="s">
        <v>88</v>
      </c>
      <c r="B260" s="115">
        <v>23</v>
      </c>
      <c r="C260" s="114" t="s">
        <v>326</v>
      </c>
      <c r="D260" s="370"/>
      <c r="E260" s="370"/>
      <c r="F260" s="370"/>
      <c r="G260" s="370"/>
      <c r="H260" s="88">
        <v>1</v>
      </c>
      <c r="I260" s="89">
        <v>6</v>
      </c>
      <c r="J260" s="90"/>
      <c r="K260" s="89"/>
      <c r="L260" s="89"/>
      <c r="M260" s="90"/>
      <c r="N260" s="91">
        <v>2</v>
      </c>
      <c r="O260" s="92">
        <v>2</v>
      </c>
      <c r="P260" s="90"/>
      <c r="Q260" s="89"/>
      <c r="R260" s="89"/>
      <c r="S260" s="167"/>
      <c r="T260" s="373"/>
      <c r="U260" s="93"/>
      <c r="V260" s="93"/>
      <c r="W260" s="93"/>
      <c r="X260" s="96">
        <f t="shared" si="8"/>
        <v>0</v>
      </c>
      <c r="Y260" s="97"/>
      <c r="Z260" s="217"/>
      <c r="AA260" s="406" t="s">
        <v>304</v>
      </c>
      <c r="AB260" s="404" t="e">
        <f>#N/A</f>
        <v>#N/A</v>
      </c>
      <c r="AC260" s="405" t="e">
        <f>#N/A</f>
        <v>#N/A</v>
      </c>
    </row>
    <row r="261" spans="1:29" s="211" customFormat="1" ht="27.75" customHeight="1">
      <c r="A261" s="114" t="s">
        <v>88</v>
      </c>
      <c r="B261" s="115">
        <v>24</v>
      </c>
      <c r="C261" s="114" t="s">
        <v>327</v>
      </c>
      <c r="D261" s="370"/>
      <c r="E261" s="370"/>
      <c r="F261" s="370"/>
      <c r="G261" s="370"/>
      <c r="H261" s="88">
        <v>1</v>
      </c>
      <c r="I261" s="89">
        <v>4</v>
      </c>
      <c r="J261" s="90"/>
      <c r="K261" s="89"/>
      <c r="L261" s="89"/>
      <c r="M261" s="90"/>
      <c r="N261" s="91">
        <v>0.5</v>
      </c>
      <c r="O261" s="92">
        <v>2</v>
      </c>
      <c r="P261" s="90"/>
      <c r="Q261" s="89"/>
      <c r="R261" s="89"/>
      <c r="S261" s="167"/>
      <c r="T261" s="373"/>
      <c r="U261" s="93"/>
      <c r="V261" s="93"/>
      <c r="W261" s="93"/>
      <c r="X261" s="96">
        <f t="shared" si="8"/>
        <v>0</v>
      </c>
      <c r="Y261" s="97"/>
      <c r="Z261" s="217"/>
      <c r="AA261" s="406" t="s">
        <v>304</v>
      </c>
      <c r="AB261" s="404" t="e">
        <f>#N/A</f>
        <v>#N/A</v>
      </c>
      <c r="AC261" s="405" t="e">
        <f>#N/A</f>
        <v>#N/A</v>
      </c>
    </row>
    <row r="262" spans="1:29" s="211" customFormat="1" ht="27.75" customHeight="1">
      <c r="A262" s="114" t="s">
        <v>88</v>
      </c>
      <c r="B262" s="115">
        <v>25</v>
      </c>
      <c r="C262" s="114" t="s">
        <v>328</v>
      </c>
      <c r="D262" s="370"/>
      <c r="E262" s="370"/>
      <c r="F262" s="370"/>
      <c r="G262" s="370"/>
      <c r="H262" s="88">
        <v>1</v>
      </c>
      <c r="I262" s="89">
        <v>4</v>
      </c>
      <c r="J262" s="90"/>
      <c r="K262" s="89"/>
      <c r="L262" s="89"/>
      <c r="M262" s="90"/>
      <c r="N262" s="91">
        <v>1</v>
      </c>
      <c r="O262" s="92">
        <v>2</v>
      </c>
      <c r="P262" s="90"/>
      <c r="Q262" s="89"/>
      <c r="R262" s="89"/>
      <c r="S262" s="167"/>
      <c r="T262" s="373"/>
      <c r="U262" s="93"/>
      <c r="V262" s="93"/>
      <c r="W262" s="93"/>
      <c r="X262" s="96">
        <f t="shared" si="8"/>
        <v>0</v>
      </c>
      <c r="Y262" s="97"/>
      <c r="Z262" s="217"/>
      <c r="AA262" s="406" t="s">
        <v>304</v>
      </c>
      <c r="AB262" s="404" t="e">
        <f>#N/A</f>
        <v>#N/A</v>
      </c>
      <c r="AC262" s="405" t="e">
        <f>#N/A</f>
        <v>#N/A</v>
      </c>
    </row>
    <row r="263" spans="1:29" s="211" customFormat="1" ht="27.75" customHeight="1">
      <c r="A263" s="114" t="s">
        <v>88</v>
      </c>
      <c r="B263" s="115">
        <v>26</v>
      </c>
      <c r="C263" s="114" t="s">
        <v>329</v>
      </c>
      <c r="D263" s="370"/>
      <c r="E263" s="370"/>
      <c r="F263" s="370"/>
      <c r="G263" s="370"/>
      <c r="H263" s="88">
        <v>2</v>
      </c>
      <c r="I263" s="89">
        <v>1.5</v>
      </c>
      <c r="J263" s="90"/>
      <c r="K263" s="89"/>
      <c r="L263" s="89"/>
      <c r="M263" s="90"/>
      <c r="N263" s="91">
        <v>1</v>
      </c>
      <c r="O263" s="92">
        <v>2</v>
      </c>
      <c r="P263" s="90"/>
      <c r="Q263" s="89"/>
      <c r="R263" s="89"/>
      <c r="S263" s="94"/>
      <c r="T263" s="373"/>
      <c r="U263" s="93"/>
      <c r="V263" s="117"/>
      <c r="W263" s="117"/>
      <c r="X263" s="96">
        <f t="shared" si="8"/>
        <v>0</v>
      </c>
      <c r="Y263" s="97"/>
      <c r="Z263" s="217"/>
      <c r="AA263" s="406" t="s">
        <v>304</v>
      </c>
      <c r="AB263" s="404" t="e">
        <f>#N/A</f>
        <v>#N/A</v>
      </c>
      <c r="AC263" s="405" t="e">
        <f>#N/A</f>
        <v>#N/A</v>
      </c>
    </row>
    <row r="264" spans="1:51" s="250" customFormat="1" ht="27.75" customHeight="1">
      <c r="A264" s="114" t="s">
        <v>88</v>
      </c>
      <c r="B264" s="115">
        <v>27</v>
      </c>
      <c r="C264" s="114" t="s">
        <v>330</v>
      </c>
      <c r="D264" s="370"/>
      <c r="E264" s="370"/>
      <c r="F264" s="370"/>
      <c r="G264" s="370"/>
      <c r="H264" s="88">
        <v>1</v>
      </c>
      <c r="I264" s="89">
        <v>4</v>
      </c>
      <c r="J264" s="93"/>
      <c r="K264" s="93"/>
      <c r="L264" s="93"/>
      <c r="M264" s="90"/>
      <c r="N264" s="91">
        <v>1</v>
      </c>
      <c r="O264" s="92">
        <v>2</v>
      </c>
      <c r="P264" s="93"/>
      <c r="Q264" s="93"/>
      <c r="R264" s="93"/>
      <c r="S264" s="167"/>
      <c r="T264" s="373"/>
      <c r="U264" s="93"/>
      <c r="V264" s="93"/>
      <c r="W264" s="93"/>
      <c r="X264" s="96">
        <f t="shared" si="8"/>
        <v>0</v>
      </c>
      <c r="Y264" s="97"/>
      <c r="Z264" s="246"/>
      <c r="AA264" s="403" t="s">
        <v>304</v>
      </c>
      <c r="AB264" s="404" t="e">
        <f>#N/A</f>
        <v>#N/A</v>
      </c>
      <c r="AC264" s="405" t="e">
        <f>#N/A</f>
        <v>#N/A</v>
      </c>
      <c r="AD264" s="211"/>
      <c r="AE264" s="211"/>
      <c r="AF264" s="211"/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Q264" s="211"/>
      <c r="AR264" s="211"/>
      <c r="AS264" s="211"/>
      <c r="AT264" s="211"/>
      <c r="AU264" s="211"/>
      <c r="AV264" s="211"/>
      <c r="AW264" s="211"/>
      <c r="AX264" s="211"/>
      <c r="AY264" s="211"/>
    </row>
    <row r="265" spans="1:29" s="211" customFormat="1" ht="27.75" customHeight="1">
      <c r="A265" s="114" t="s">
        <v>88</v>
      </c>
      <c r="B265" s="115">
        <v>28</v>
      </c>
      <c r="C265" s="114" t="s">
        <v>331</v>
      </c>
      <c r="D265" s="370"/>
      <c r="E265" s="370"/>
      <c r="F265" s="370"/>
      <c r="G265" s="370"/>
      <c r="H265" s="88">
        <v>1</v>
      </c>
      <c r="I265" s="89">
        <v>6</v>
      </c>
      <c r="J265" s="90"/>
      <c r="K265" s="90"/>
      <c r="L265" s="93"/>
      <c r="M265" s="90"/>
      <c r="N265" s="91">
        <v>2</v>
      </c>
      <c r="O265" s="92">
        <v>2</v>
      </c>
      <c r="P265" s="90"/>
      <c r="Q265" s="89"/>
      <c r="R265" s="89"/>
      <c r="S265" s="167"/>
      <c r="T265" s="95"/>
      <c r="U265" s="90"/>
      <c r="V265" s="90"/>
      <c r="W265" s="90"/>
      <c r="X265" s="96">
        <f t="shared" si="8"/>
        <v>0</v>
      </c>
      <c r="Y265" s="97"/>
      <c r="Z265" s="217"/>
      <c r="AA265" s="406" t="s">
        <v>304</v>
      </c>
      <c r="AB265" s="404" t="e">
        <f>#N/A</f>
        <v>#N/A</v>
      </c>
      <c r="AC265" s="405" t="e">
        <f>#N/A</f>
        <v>#N/A</v>
      </c>
    </row>
    <row r="266" spans="1:29" s="250" customFormat="1" ht="27.75" customHeight="1">
      <c r="A266" s="114" t="s">
        <v>88</v>
      </c>
      <c r="B266" s="115">
        <v>29</v>
      </c>
      <c r="C266" s="114" t="s">
        <v>332</v>
      </c>
      <c r="D266" s="370"/>
      <c r="E266" s="370"/>
      <c r="F266" s="370"/>
      <c r="G266" s="370"/>
      <c r="H266" s="88">
        <v>1</v>
      </c>
      <c r="I266" s="89">
        <v>4</v>
      </c>
      <c r="J266" s="93"/>
      <c r="K266" s="93"/>
      <c r="L266" s="93"/>
      <c r="M266" s="93"/>
      <c r="N266" s="91"/>
      <c r="O266" s="92"/>
      <c r="P266" s="93"/>
      <c r="Q266" s="93"/>
      <c r="R266" s="93"/>
      <c r="S266" s="167">
        <v>3</v>
      </c>
      <c r="T266" s="95">
        <v>2</v>
      </c>
      <c r="U266" s="93"/>
      <c r="V266" s="93"/>
      <c r="W266" s="93"/>
      <c r="X266" s="96">
        <f t="shared" si="8"/>
        <v>0</v>
      </c>
      <c r="Y266" s="97"/>
      <c r="Z266" s="246"/>
      <c r="AA266" s="403" t="s">
        <v>304</v>
      </c>
      <c r="AB266" s="404" t="e">
        <f>#N/A</f>
        <v>#N/A</v>
      </c>
      <c r="AC266" s="405" t="e">
        <f>#N/A</f>
        <v>#N/A</v>
      </c>
    </row>
    <row r="267" spans="1:29" s="211" customFormat="1" ht="27.75" customHeight="1">
      <c r="A267" s="114" t="s">
        <v>63</v>
      </c>
      <c r="B267" s="115">
        <v>1</v>
      </c>
      <c r="C267" s="114" t="s">
        <v>333</v>
      </c>
      <c r="D267" s="370"/>
      <c r="E267" s="370"/>
      <c r="F267" s="370"/>
      <c r="G267" s="370"/>
      <c r="H267" s="88">
        <v>1</v>
      </c>
      <c r="I267" s="89">
        <v>4</v>
      </c>
      <c r="J267" s="90"/>
      <c r="K267" s="93"/>
      <c r="L267" s="93"/>
      <c r="M267" s="90"/>
      <c r="N267" s="91"/>
      <c r="O267" s="92"/>
      <c r="P267" s="93"/>
      <c r="Q267" s="93"/>
      <c r="R267" s="93"/>
      <c r="S267" s="167">
        <v>3</v>
      </c>
      <c r="T267" s="373">
        <v>2</v>
      </c>
      <c r="U267" s="93"/>
      <c r="V267" s="93"/>
      <c r="W267" s="93"/>
      <c r="X267" s="96">
        <f t="shared" si="8"/>
        <v>0</v>
      </c>
      <c r="Y267" s="97"/>
      <c r="Z267" s="217"/>
      <c r="AA267" s="406" t="s">
        <v>304</v>
      </c>
      <c r="AB267" s="404" t="e">
        <f>#N/A</f>
        <v>#N/A</v>
      </c>
      <c r="AC267" s="405" t="e">
        <f>#N/A</f>
        <v>#N/A</v>
      </c>
    </row>
    <row r="268" spans="1:51" s="211" customFormat="1" ht="27.75" customHeight="1">
      <c r="A268" s="114" t="s">
        <v>63</v>
      </c>
      <c r="B268" s="115">
        <v>2</v>
      </c>
      <c r="C268" s="114" t="s">
        <v>334</v>
      </c>
      <c r="D268" s="370"/>
      <c r="E268" s="370"/>
      <c r="F268" s="370"/>
      <c r="G268" s="370"/>
      <c r="H268" s="88">
        <v>1</v>
      </c>
      <c r="I268" s="89">
        <v>4</v>
      </c>
      <c r="J268" s="93"/>
      <c r="K268" s="93"/>
      <c r="L268" s="93"/>
      <c r="M268" s="93"/>
      <c r="N268" s="91"/>
      <c r="O268" s="149"/>
      <c r="P268" s="93"/>
      <c r="Q268" s="93"/>
      <c r="R268" s="93"/>
      <c r="S268" s="142"/>
      <c r="T268" s="95"/>
      <c r="U268" s="90"/>
      <c r="V268" s="93"/>
      <c r="W268" s="90"/>
      <c r="X268" s="96">
        <f t="shared" si="8"/>
        <v>0</v>
      </c>
      <c r="Y268" s="97"/>
      <c r="Z268" s="217"/>
      <c r="AA268" s="406" t="s">
        <v>304</v>
      </c>
      <c r="AC268" s="416"/>
      <c r="AD268" s="250"/>
      <c r="AE268" s="250"/>
      <c r="AF268" s="250"/>
      <c r="AG268" s="250"/>
      <c r="AH268" s="250"/>
      <c r="AI268" s="250"/>
      <c r="AJ268" s="250"/>
      <c r="AK268" s="250"/>
      <c r="AL268" s="250"/>
      <c r="AM268" s="250"/>
      <c r="AN268" s="250"/>
      <c r="AO268" s="250"/>
      <c r="AP268" s="250"/>
      <c r="AQ268" s="250"/>
      <c r="AR268" s="250"/>
      <c r="AS268" s="250"/>
      <c r="AT268" s="250"/>
      <c r="AU268" s="250"/>
      <c r="AV268" s="250"/>
      <c r="AW268" s="250"/>
      <c r="AX268" s="250"/>
      <c r="AY268" s="250"/>
    </row>
    <row r="269" spans="1:29" s="211" customFormat="1" ht="27.75" customHeight="1">
      <c r="A269" s="114" t="s">
        <v>63</v>
      </c>
      <c r="B269" s="115">
        <v>3</v>
      </c>
      <c r="C269" s="114" t="s">
        <v>335</v>
      </c>
      <c r="D269" s="370"/>
      <c r="E269" s="370"/>
      <c r="F269" s="370"/>
      <c r="G269" s="370"/>
      <c r="H269" s="88">
        <v>1</v>
      </c>
      <c r="I269" s="89">
        <v>3</v>
      </c>
      <c r="J269" s="93"/>
      <c r="K269" s="93"/>
      <c r="L269" s="93"/>
      <c r="M269" s="93"/>
      <c r="N269" s="91">
        <v>0.5</v>
      </c>
      <c r="O269" s="92">
        <v>2</v>
      </c>
      <c r="P269" s="93"/>
      <c r="Q269" s="93"/>
      <c r="R269" s="93"/>
      <c r="S269" s="142"/>
      <c r="T269" s="95"/>
      <c r="U269" s="90"/>
      <c r="V269" s="93"/>
      <c r="W269" s="90"/>
      <c r="X269" s="96">
        <f t="shared" si="8"/>
        <v>0</v>
      </c>
      <c r="Y269" s="97"/>
      <c r="Z269" s="217"/>
      <c r="AA269" s="406" t="s">
        <v>304</v>
      </c>
      <c r="AC269" s="416"/>
    </row>
    <row r="270" spans="1:29" s="211" customFormat="1" ht="27.75" customHeight="1">
      <c r="A270" s="114" t="s">
        <v>63</v>
      </c>
      <c r="B270" s="115">
        <v>4</v>
      </c>
      <c r="C270" s="114" t="s">
        <v>336</v>
      </c>
      <c r="D270" s="370"/>
      <c r="E270" s="370"/>
      <c r="F270" s="370"/>
      <c r="G270" s="370"/>
      <c r="H270" s="88">
        <v>1</v>
      </c>
      <c r="I270" s="89">
        <v>4</v>
      </c>
      <c r="J270" s="93"/>
      <c r="K270" s="93"/>
      <c r="L270" s="93"/>
      <c r="M270" s="93"/>
      <c r="N270" s="91">
        <v>0.5</v>
      </c>
      <c r="O270" s="92">
        <v>2</v>
      </c>
      <c r="P270" s="90"/>
      <c r="Q270" s="93"/>
      <c r="R270" s="93"/>
      <c r="S270" s="142"/>
      <c r="T270" s="95"/>
      <c r="U270" s="90"/>
      <c r="V270" s="93"/>
      <c r="W270" s="90"/>
      <c r="X270" s="96">
        <f t="shared" si="8"/>
        <v>0</v>
      </c>
      <c r="Y270" s="97"/>
      <c r="Z270" s="217"/>
      <c r="AA270" s="406" t="s">
        <v>304</v>
      </c>
      <c r="AC270" s="416"/>
    </row>
    <row r="271" spans="1:29" s="211" customFormat="1" ht="27.75" customHeight="1">
      <c r="A271" s="114" t="s">
        <v>63</v>
      </c>
      <c r="B271" s="115">
        <v>5</v>
      </c>
      <c r="C271" s="114" t="s">
        <v>337</v>
      </c>
      <c r="D271" s="370"/>
      <c r="E271" s="370"/>
      <c r="F271" s="370"/>
      <c r="G271" s="370"/>
      <c r="H271" s="88">
        <v>1</v>
      </c>
      <c r="I271" s="89">
        <v>4</v>
      </c>
      <c r="J271" s="93"/>
      <c r="K271" s="93"/>
      <c r="L271" s="93"/>
      <c r="M271" s="93"/>
      <c r="N271" s="91">
        <v>0.5</v>
      </c>
      <c r="O271" s="92">
        <v>2</v>
      </c>
      <c r="P271" s="90"/>
      <c r="Q271" s="93"/>
      <c r="R271" s="93"/>
      <c r="S271" s="142"/>
      <c r="T271" s="95"/>
      <c r="U271" s="90"/>
      <c r="V271" s="93"/>
      <c r="W271" s="90"/>
      <c r="X271" s="96">
        <f t="shared" si="8"/>
        <v>0</v>
      </c>
      <c r="Y271" s="97"/>
      <c r="Z271" s="217"/>
      <c r="AA271" s="406" t="s">
        <v>304</v>
      </c>
      <c r="AB271" s="211">
        <v>0.01</v>
      </c>
      <c r="AC271" s="416">
        <v>3.5</v>
      </c>
    </row>
    <row r="272" spans="1:29" s="211" customFormat="1" ht="27.75" customHeight="1">
      <c r="A272" s="114" t="s">
        <v>63</v>
      </c>
      <c r="B272" s="115">
        <v>6</v>
      </c>
      <c r="C272" s="114" t="s">
        <v>338</v>
      </c>
      <c r="D272" s="370"/>
      <c r="E272" s="370"/>
      <c r="F272" s="370"/>
      <c r="G272" s="370"/>
      <c r="H272" s="88">
        <v>1</v>
      </c>
      <c r="I272" s="89">
        <v>6</v>
      </c>
      <c r="J272" s="93"/>
      <c r="K272" s="93"/>
      <c r="L272" s="93"/>
      <c r="M272" s="93"/>
      <c r="N272" s="91">
        <v>3</v>
      </c>
      <c r="O272" s="92">
        <v>2</v>
      </c>
      <c r="P272" s="90"/>
      <c r="Q272" s="93"/>
      <c r="R272" s="93"/>
      <c r="S272" s="142"/>
      <c r="T272" s="95"/>
      <c r="U272" s="90"/>
      <c r="V272" s="93"/>
      <c r="W272" s="90"/>
      <c r="X272" s="96">
        <f t="shared" si="8"/>
        <v>0</v>
      </c>
      <c r="Y272" s="97"/>
      <c r="Z272" s="217"/>
      <c r="AA272" s="406" t="s">
        <v>304</v>
      </c>
      <c r="AB272" s="211">
        <v>0.01</v>
      </c>
      <c r="AC272" s="416">
        <v>3.5</v>
      </c>
    </row>
    <row r="273" spans="1:29" s="211" customFormat="1" ht="27.75" customHeight="1">
      <c r="A273" s="114" t="s">
        <v>63</v>
      </c>
      <c r="B273" s="115">
        <v>7</v>
      </c>
      <c r="C273" s="114" t="s">
        <v>339</v>
      </c>
      <c r="D273" s="370"/>
      <c r="E273" s="370"/>
      <c r="F273" s="370"/>
      <c r="G273" s="370"/>
      <c r="H273" s="88">
        <v>1</v>
      </c>
      <c r="I273" s="89">
        <v>4</v>
      </c>
      <c r="J273" s="93"/>
      <c r="K273" s="93"/>
      <c r="L273" s="93"/>
      <c r="M273" s="93"/>
      <c r="N273" s="91">
        <v>0.5</v>
      </c>
      <c r="O273" s="92">
        <v>2</v>
      </c>
      <c r="P273" s="93"/>
      <c r="Q273" s="93"/>
      <c r="R273" s="93"/>
      <c r="S273" s="142"/>
      <c r="T273" s="95"/>
      <c r="U273" s="90"/>
      <c r="V273" s="93"/>
      <c r="W273" s="90"/>
      <c r="X273" s="96">
        <f t="shared" si="8"/>
        <v>0</v>
      </c>
      <c r="Y273" s="97"/>
      <c r="Z273" s="217"/>
      <c r="AA273" s="406" t="s">
        <v>304</v>
      </c>
      <c r="AB273" s="211">
        <v>0.01</v>
      </c>
      <c r="AC273" s="416"/>
    </row>
    <row r="274" spans="1:29" s="211" customFormat="1" ht="27.75" customHeight="1">
      <c r="A274" s="114" t="s">
        <v>63</v>
      </c>
      <c r="B274" s="115">
        <v>8</v>
      </c>
      <c r="C274" s="114" t="s">
        <v>340</v>
      </c>
      <c r="D274" s="370"/>
      <c r="E274" s="370"/>
      <c r="F274" s="370"/>
      <c r="G274" s="370"/>
      <c r="H274" s="88">
        <v>1</v>
      </c>
      <c r="I274" s="89">
        <v>4</v>
      </c>
      <c r="J274" s="93"/>
      <c r="K274" s="93"/>
      <c r="L274" s="93"/>
      <c r="M274" s="93"/>
      <c r="N274" s="91">
        <v>0.5</v>
      </c>
      <c r="O274" s="92">
        <v>2</v>
      </c>
      <c r="P274" s="93"/>
      <c r="Q274" s="93"/>
      <c r="R274" s="93"/>
      <c r="S274" s="142"/>
      <c r="T274" s="95"/>
      <c r="U274" s="90"/>
      <c r="V274" s="93"/>
      <c r="W274" s="90"/>
      <c r="X274" s="96">
        <f t="shared" si="8"/>
        <v>0</v>
      </c>
      <c r="Y274" s="97"/>
      <c r="Z274" s="217"/>
      <c r="AA274" s="406" t="s">
        <v>304</v>
      </c>
      <c r="AB274" s="211">
        <v>0.01</v>
      </c>
      <c r="AC274" s="416"/>
    </row>
    <row r="275" spans="1:29" s="211" customFormat="1" ht="27.75" customHeight="1">
      <c r="A275" s="114" t="s">
        <v>63</v>
      </c>
      <c r="B275" s="115">
        <v>9</v>
      </c>
      <c r="C275" s="114" t="s">
        <v>341</v>
      </c>
      <c r="D275" s="370"/>
      <c r="E275" s="370"/>
      <c r="F275" s="370"/>
      <c r="G275" s="370"/>
      <c r="H275" s="88">
        <v>1</v>
      </c>
      <c r="I275" s="89">
        <v>4</v>
      </c>
      <c r="J275" s="93"/>
      <c r="K275" s="93"/>
      <c r="L275" s="93"/>
      <c r="M275" s="93"/>
      <c r="N275" s="91">
        <v>0.5</v>
      </c>
      <c r="O275" s="92">
        <v>2</v>
      </c>
      <c r="P275" s="90"/>
      <c r="Q275" s="93"/>
      <c r="R275" s="93"/>
      <c r="S275" s="142"/>
      <c r="T275" s="95"/>
      <c r="U275" s="90"/>
      <c r="V275" s="93"/>
      <c r="W275" s="90"/>
      <c r="X275" s="96">
        <f t="shared" si="8"/>
        <v>0</v>
      </c>
      <c r="Y275" s="97"/>
      <c r="Z275" s="217"/>
      <c r="AA275" s="406" t="s">
        <v>342</v>
      </c>
      <c r="AB275" s="211">
        <v>0.01</v>
      </c>
      <c r="AC275" s="416">
        <v>3.5</v>
      </c>
    </row>
    <row r="276" spans="1:29" s="211" customFormat="1" ht="27.75" customHeight="1">
      <c r="A276" s="114" t="s">
        <v>63</v>
      </c>
      <c r="B276" s="115">
        <v>10</v>
      </c>
      <c r="C276" s="114" t="s">
        <v>343</v>
      </c>
      <c r="D276" s="370"/>
      <c r="E276" s="370"/>
      <c r="F276" s="370"/>
      <c r="G276" s="370"/>
      <c r="H276" s="88">
        <v>1</v>
      </c>
      <c r="I276" s="89">
        <v>4</v>
      </c>
      <c r="J276" s="93"/>
      <c r="K276" s="93"/>
      <c r="L276" s="93"/>
      <c r="M276" s="93"/>
      <c r="N276" s="91">
        <v>0.5</v>
      </c>
      <c r="O276" s="92">
        <v>2</v>
      </c>
      <c r="P276" s="90"/>
      <c r="Q276" s="93"/>
      <c r="R276" s="93"/>
      <c r="S276" s="142"/>
      <c r="T276" s="95"/>
      <c r="U276" s="90"/>
      <c r="V276" s="93"/>
      <c r="W276" s="90"/>
      <c r="X276" s="96">
        <f t="shared" si="8"/>
        <v>0</v>
      </c>
      <c r="Y276" s="97"/>
      <c r="Z276" s="217"/>
      <c r="AA276" s="406" t="s">
        <v>342</v>
      </c>
      <c r="AB276" s="211">
        <v>0.01</v>
      </c>
      <c r="AC276" s="416">
        <v>3.5</v>
      </c>
    </row>
    <row r="277" spans="1:29" s="211" customFormat="1" ht="27.75" customHeight="1">
      <c r="A277" s="114" t="s">
        <v>63</v>
      </c>
      <c r="B277" s="115">
        <v>11</v>
      </c>
      <c r="C277" s="114" t="s">
        <v>344</v>
      </c>
      <c r="D277" s="370"/>
      <c r="E277" s="370"/>
      <c r="F277" s="370"/>
      <c r="G277" s="370"/>
      <c r="H277" s="88">
        <v>1</v>
      </c>
      <c r="I277" s="89" t="s">
        <v>345</v>
      </c>
      <c r="J277" s="93"/>
      <c r="K277" s="93"/>
      <c r="L277" s="93"/>
      <c r="M277" s="93"/>
      <c r="N277" s="91"/>
      <c r="O277" s="149"/>
      <c r="P277" s="90"/>
      <c r="Q277" s="93"/>
      <c r="R277" s="93"/>
      <c r="S277" s="142"/>
      <c r="T277" s="95"/>
      <c r="U277" s="90"/>
      <c r="V277" s="93"/>
      <c r="W277" s="90"/>
      <c r="X277" s="96">
        <f t="shared" si="8"/>
        <v>0</v>
      </c>
      <c r="Y277" s="97"/>
      <c r="Z277" s="217"/>
      <c r="AA277" s="406" t="s">
        <v>342</v>
      </c>
      <c r="AB277" s="211">
        <v>0.01</v>
      </c>
      <c r="AC277" s="416">
        <v>3.5</v>
      </c>
    </row>
    <row r="278" spans="1:27" s="211" customFormat="1" ht="27.75" customHeight="1">
      <c r="A278" s="114" t="s">
        <v>63</v>
      </c>
      <c r="B278" s="115">
        <v>12</v>
      </c>
      <c r="C278" s="114" t="s">
        <v>346</v>
      </c>
      <c r="D278" s="370"/>
      <c r="E278" s="370"/>
      <c r="F278" s="370"/>
      <c r="G278" s="370"/>
      <c r="H278" s="88">
        <v>1</v>
      </c>
      <c r="I278" s="89">
        <v>3</v>
      </c>
      <c r="J278" s="93"/>
      <c r="K278" s="93"/>
      <c r="L278" s="93"/>
      <c r="M278" s="93"/>
      <c r="N278" s="91">
        <v>0.5</v>
      </c>
      <c r="O278" s="92">
        <v>1</v>
      </c>
      <c r="P278" s="90"/>
      <c r="Q278" s="89"/>
      <c r="R278" s="90"/>
      <c r="S278" s="142"/>
      <c r="T278" s="95"/>
      <c r="U278" s="90"/>
      <c r="V278" s="93"/>
      <c r="W278" s="90"/>
      <c r="X278" s="96">
        <f t="shared" si="8"/>
        <v>0</v>
      </c>
      <c r="Y278" s="97"/>
      <c r="Z278" s="217"/>
      <c r="AA278" s="406" t="s">
        <v>342</v>
      </c>
    </row>
    <row r="279" spans="1:27" s="211" customFormat="1" ht="27.75" customHeight="1">
      <c r="A279" s="114" t="s">
        <v>63</v>
      </c>
      <c r="B279" s="115">
        <v>13</v>
      </c>
      <c r="C279" s="114" t="s">
        <v>347</v>
      </c>
      <c r="D279" s="370"/>
      <c r="E279" s="370"/>
      <c r="F279" s="370"/>
      <c r="G279" s="370"/>
      <c r="H279" s="88">
        <v>1</v>
      </c>
      <c r="I279" s="89">
        <v>2.5</v>
      </c>
      <c r="J279" s="93"/>
      <c r="K279" s="93"/>
      <c r="L279" s="93"/>
      <c r="M279" s="93"/>
      <c r="N279" s="91"/>
      <c r="O279" s="149"/>
      <c r="P279" s="90"/>
      <c r="Q279" s="93"/>
      <c r="R279" s="93"/>
      <c r="S279" s="142"/>
      <c r="T279" s="95"/>
      <c r="U279" s="90"/>
      <c r="V279" s="93"/>
      <c r="W279" s="90"/>
      <c r="X279" s="96">
        <f t="shared" si="8"/>
        <v>0</v>
      </c>
      <c r="Y279" s="97"/>
      <c r="Z279" s="217"/>
      <c r="AA279" s="406" t="s">
        <v>342</v>
      </c>
    </row>
    <row r="280" spans="1:27" s="211" customFormat="1" ht="27.75" customHeight="1">
      <c r="A280" s="114" t="s">
        <v>63</v>
      </c>
      <c r="B280" s="115">
        <v>14</v>
      </c>
      <c r="C280" s="114" t="s">
        <v>348</v>
      </c>
      <c r="D280" s="370"/>
      <c r="E280" s="370"/>
      <c r="F280" s="370"/>
      <c r="G280" s="370"/>
      <c r="H280" s="88">
        <v>1</v>
      </c>
      <c r="I280" s="89">
        <v>2.5</v>
      </c>
      <c r="J280" s="93"/>
      <c r="K280" s="93"/>
      <c r="L280" s="93"/>
      <c r="M280" s="93"/>
      <c r="N280" s="91">
        <v>0.5</v>
      </c>
      <c r="O280" s="92">
        <v>1</v>
      </c>
      <c r="P280" s="90"/>
      <c r="Q280" s="89"/>
      <c r="R280" s="90"/>
      <c r="S280" s="142"/>
      <c r="T280" s="95"/>
      <c r="U280" s="90"/>
      <c r="V280" s="93"/>
      <c r="W280" s="90"/>
      <c r="X280" s="96">
        <f t="shared" si="8"/>
        <v>0</v>
      </c>
      <c r="Y280" s="97"/>
      <c r="Z280" s="217"/>
      <c r="AA280" s="406" t="s">
        <v>342</v>
      </c>
    </row>
    <row r="281" spans="1:27" s="211" customFormat="1" ht="27.75" customHeight="1">
      <c r="A281" s="114" t="s">
        <v>63</v>
      </c>
      <c r="B281" s="115">
        <v>15</v>
      </c>
      <c r="C281" s="114" t="s">
        <v>349</v>
      </c>
      <c r="D281" s="370"/>
      <c r="E281" s="370"/>
      <c r="F281" s="370"/>
      <c r="G281" s="370"/>
      <c r="H281" s="88">
        <v>1</v>
      </c>
      <c r="I281" s="89">
        <v>2.5</v>
      </c>
      <c r="J281" s="93"/>
      <c r="K281" s="93"/>
      <c r="L281" s="93"/>
      <c r="M281" s="93"/>
      <c r="N281" s="91"/>
      <c r="O281" s="149"/>
      <c r="P281" s="90"/>
      <c r="Q281" s="93"/>
      <c r="R281" s="93"/>
      <c r="S281" s="142"/>
      <c r="T281" s="95"/>
      <c r="U281" s="90"/>
      <c r="V281" s="93"/>
      <c r="W281" s="90"/>
      <c r="X281" s="96">
        <f t="shared" si="8"/>
        <v>0</v>
      </c>
      <c r="Y281" s="97"/>
      <c r="Z281" s="217"/>
      <c r="AA281" s="406" t="s">
        <v>342</v>
      </c>
    </row>
    <row r="282" spans="1:27" s="211" customFormat="1" ht="27.75" customHeight="1">
      <c r="A282" s="114" t="s">
        <v>63</v>
      </c>
      <c r="B282" s="115">
        <v>16</v>
      </c>
      <c r="C282" s="114" t="s">
        <v>350</v>
      </c>
      <c r="D282" s="370"/>
      <c r="E282" s="370"/>
      <c r="F282" s="370"/>
      <c r="G282" s="370"/>
      <c r="H282" s="88">
        <v>1</v>
      </c>
      <c r="I282" s="89">
        <v>3</v>
      </c>
      <c r="J282" s="93"/>
      <c r="K282" s="93"/>
      <c r="L282" s="93"/>
      <c r="M282" s="93"/>
      <c r="N282" s="91">
        <v>0.5</v>
      </c>
      <c r="O282" s="92">
        <v>1</v>
      </c>
      <c r="P282" s="90"/>
      <c r="Q282" s="89"/>
      <c r="R282" s="90"/>
      <c r="S282" s="142"/>
      <c r="T282" s="95"/>
      <c r="U282" s="90"/>
      <c r="V282" s="93"/>
      <c r="W282" s="90"/>
      <c r="X282" s="96">
        <f t="shared" si="8"/>
        <v>0</v>
      </c>
      <c r="Y282" s="97"/>
      <c r="Z282" s="217"/>
      <c r="AA282" s="406" t="s">
        <v>342</v>
      </c>
    </row>
    <row r="283" spans="1:27" s="211" customFormat="1" ht="27.75" customHeight="1">
      <c r="A283" s="114" t="s">
        <v>63</v>
      </c>
      <c r="B283" s="115">
        <v>17</v>
      </c>
      <c r="C283" s="114" t="s">
        <v>351</v>
      </c>
      <c r="D283" s="370"/>
      <c r="E283" s="370"/>
      <c r="F283" s="370"/>
      <c r="G283" s="370"/>
      <c r="H283" s="88">
        <v>1</v>
      </c>
      <c r="I283" s="89">
        <v>3</v>
      </c>
      <c r="J283" s="93"/>
      <c r="K283" s="93"/>
      <c r="L283" s="93"/>
      <c r="M283" s="93"/>
      <c r="N283" s="91"/>
      <c r="O283" s="149"/>
      <c r="P283" s="90"/>
      <c r="Q283" s="93"/>
      <c r="R283" s="93"/>
      <c r="S283" s="142"/>
      <c r="T283" s="95"/>
      <c r="U283" s="90"/>
      <c r="V283" s="93"/>
      <c r="W283" s="90"/>
      <c r="X283" s="96">
        <f t="shared" si="8"/>
        <v>0</v>
      </c>
      <c r="Y283" s="97"/>
      <c r="Z283" s="217"/>
      <c r="AA283" s="406" t="s">
        <v>342</v>
      </c>
    </row>
    <row r="284" spans="1:27" s="211" customFormat="1" ht="27.75" customHeight="1">
      <c r="A284" s="114" t="s">
        <v>63</v>
      </c>
      <c r="B284" s="115">
        <v>18</v>
      </c>
      <c r="C284" s="114" t="s">
        <v>352</v>
      </c>
      <c r="D284" s="370"/>
      <c r="E284" s="370"/>
      <c r="F284" s="370"/>
      <c r="G284" s="370"/>
      <c r="H284" s="88">
        <v>1</v>
      </c>
      <c r="I284" s="89">
        <v>3</v>
      </c>
      <c r="J284" s="93"/>
      <c r="K284" s="93"/>
      <c r="L284" s="93"/>
      <c r="M284" s="93"/>
      <c r="N284" s="91"/>
      <c r="O284" s="149"/>
      <c r="P284" s="90"/>
      <c r="Q284" s="93"/>
      <c r="R284" s="93"/>
      <c r="S284" s="142"/>
      <c r="T284" s="95"/>
      <c r="U284" s="90"/>
      <c r="V284" s="93"/>
      <c r="W284" s="90"/>
      <c r="X284" s="96">
        <f t="shared" si="8"/>
        <v>0</v>
      </c>
      <c r="Y284" s="97"/>
      <c r="Z284" s="217"/>
      <c r="AA284" s="406" t="s">
        <v>342</v>
      </c>
    </row>
    <row r="285" spans="1:27" s="211" customFormat="1" ht="27.75" customHeight="1">
      <c r="A285" s="114" t="s">
        <v>63</v>
      </c>
      <c r="B285" s="115">
        <v>19</v>
      </c>
      <c r="C285" s="114" t="s">
        <v>353</v>
      </c>
      <c r="D285" s="370"/>
      <c r="E285" s="370"/>
      <c r="F285" s="370"/>
      <c r="G285" s="370"/>
      <c r="H285" s="88">
        <v>1</v>
      </c>
      <c r="I285" s="89">
        <v>3</v>
      </c>
      <c r="J285" s="93"/>
      <c r="K285" s="93"/>
      <c r="L285" s="93"/>
      <c r="M285" s="93"/>
      <c r="N285" s="91"/>
      <c r="O285" s="149"/>
      <c r="P285" s="90"/>
      <c r="Q285" s="93"/>
      <c r="R285" s="93"/>
      <c r="S285" s="142"/>
      <c r="T285" s="95"/>
      <c r="U285" s="90"/>
      <c r="V285" s="93"/>
      <c r="W285" s="90"/>
      <c r="X285" s="96">
        <f t="shared" si="8"/>
        <v>0</v>
      </c>
      <c r="Y285" s="97"/>
      <c r="Z285" s="217"/>
      <c r="AA285" s="406" t="s">
        <v>342</v>
      </c>
    </row>
    <row r="286" spans="1:27" s="211" customFormat="1" ht="27.75" customHeight="1">
      <c r="A286" s="114" t="s">
        <v>63</v>
      </c>
      <c r="B286" s="115">
        <v>20</v>
      </c>
      <c r="C286" s="114" t="s">
        <v>354</v>
      </c>
      <c r="D286" s="87"/>
      <c r="E286" s="87"/>
      <c r="F286" s="87"/>
      <c r="G286" s="87"/>
      <c r="H286" s="88">
        <v>1</v>
      </c>
      <c r="I286" s="89">
        <v>3</v>
      </c>
      <c r="J286" s="93"/>
      <c r="K286" s="93"/>
      <c r="L286" s="93"/>
      <c r="M286" s="93"/>
      <c r="N286" s="91"/>
      <c r="O286" s="149"/>
      <c r="P286" s="90"/>
      <c r="Q286" s="93"/>
      <c r="R286" s="93"/>
      <c r="S286" s="142"/>
      <c r="T286" s="95"/>
      <c r="U286" s="90"/>
      <c r="V286" s="93"/>
      <c r="W286" s="90"/>
      <c r="X286" s="96">
        <f t="shared" si="8"/>
        <v>0</v>
      </c>
      <c r="Y286" s="97"/>
      <c r="Z286" s="217"/>
      <c r="AA286" s="406" t="s">
        <v>342</v>
      </c>
    </row>
    <row r="287" spans="1:27" s="211" customFormat="1" ht="27.75" customHeight="1">
      <c r="A287" s="114" t="s">
        <v>63</v>
      </c>
      <c r="B287" s="115">
        <v>21</v>
      </c>
      <c r="C287" s="114" t="s">
        <v>355</v>
      </c>
      <c r="D287" s="87"/>
      <c r="E287" s="87"/>
      <c r="F287" s="87"/>
      <c r="G287" s="87"/>
      <c r="H287" s="88">
        <v>1</v>
      </c>
      <c r="I287" s="89">
        <v>4</v>
      </c>
      <c r="J287" s="93"/>
      <c r="K287" s="93"/>
      <c r="L287" s="93"/>
      <c r="M287" s="93"/>
      <c r="N287" s="91"/>
      <c r="O287" s="92"/>
      <c r="P287" s="90"/>
      <c r="Q287" s="93"/>
      <c r="R287" s="93"/>
      <c r="S287" s="167">
        <v>3</v>
      </c>
      <c r="T287" s="95">
        <v>1</v>
      </c>
      <c r="U287" s="93"/>
      <c r="V287" s="93"/>
      <c r="W287" s="93"/>
      <c r="X287" s="96">
        <f t="shared" si="8"/>
        <v>0</v>
      </c>
      <c r="Y287" s="97"/>
      <c r="Z287" s="217"/>
      <c r="AA287" s="406" t="s">
        <v>342</v>
      </c>
    </row>
    <row r="288" spans="1:27" s="211" customFormat="1" ht="27.75" customHeight="1">
      <c r="A288" s="114" t="s">
        <v>63</v>
      </c>
      <c r="B288" s="115">
        <v>22</v>
      </c>
      <c r="C288" s="114" t="s">
        <v>356</v>
      </c>
      <c r="D288" s="87"/>
      <c r="E288" s="87"/>
      <c r="F288" s="87"/>
      <c r="G288" s="87"/>
      <c r="H288" s="88">
        <v>1</v>
      </c>
      <c r="I288" s="89">
        <v>4</v>
      </c>
      <c r="J288" s="93"/>
      <c r="K288" s="93"/>
      <c r="L288" s="93"/>
      <c r="M288" s="93"/>
      <c r="N288" s="91">
        <v>0.5</v>
      </c>
      <c r="O288" s="92">
        <v>2</v>
      </c>
      <c r="P288" s="90"/>
      <c r="Q288" s="93"/>
      <c r="R288" s="93"/>
      <c r="S288" s="142"/>
      <c r="T288" s="95"/>
      <c r="U288" s="90"/>
      <c r="V288" s="93"/>
      <c r="W288" s="90"/>
      <c r="X288" s="96">
        <f t="shared" si="8"/>
        <v>0</v>
      </c>
      <c r="Y288" s="97"/>
      <c r="Z288" s="217"/>
      <c r="AA288" s="406" t="s">
        <v>342</v>
      </c>
    </row>
    <row r="289" spans="1:27" s="211" customFormat="1" ht="27.75" customHeight="1">
      <c r="A289" s="114" t="s">
        <v>63</v>
      </c>
      <c r="B289" s="115">
        <v>23</v>
      </c>
      <c r="C289" s="114" t="s">
        <v>357</v>
      </c>
      <c r="D289" s="156"/>
      <c r="E289" s="156"/>
      <c r="F289" s="156"/>
      <c r="G289" s="156"/>
      <c r="H289" s="88">
        <v>1</v>
      </c>
      <c r="I289" s="89">
        <v>4</v>
      </c>
      <c r="J289" s="93"/>
      <c r="K289" s="93"/>
      <c r="L289" s="93"/>
      <c r="M289" s="93"/>
      <c r="N289" s="91">
        <v>0.5</v>
      </c>
      <c r="O289" s="92">
        <v>1</v>
      </c>
      <c r="P289" s="90"/>
      <c r="Q289" s="93"/>
      <c r="R289" s="93"/>
      <c r="S289" s="142"/>
      <c r="T289" s="95"/>
      <c r="U289" s="90"/>
      <c r="V289" s="93"/>
      <c r="W289" s="90"/>
      <c r="X289" s="96">
        <f t="shared" si="8"/>
        <v>0</v>
      </c>
      <c r="Y289" s="97"/>
      <c r="Z289" s="217"/>
      <c r="AA289" s="406" t="s">
        <v>342</v>
      </c>
    </row>
    <row r="290" spans="1:27" s="211" customFormat="1" ht="27.75" customHeight="1">
      <c r="A290" s="114" t="s">
        <v>63</v>
      </c>
      <c r="B290" s="115">
        <v>24</v>
      </c>
      <c r="C290" s="114" t="s">
        <v>358</v>
      </c>
      <c r="D290" s="87"/>
      <c r="E290" s="87"/>
      <c r="F290" s="87"/>
      <c r="G290" s="87"/>
      <c r="H290" s="88">
        <v>1</v>
      </c>
      <c r="I290" s="89">
        <v>4</v>
      </c>
      <c r="J290" s="93"/>
      <c r="K290" s="93"/>
      <c r="L290" s="93"/>
      <c r="M290" s="93"/>
      <c r="N290" s="91">
        <v>0.5</v>
      </c>
      <c r="O290" s="92">
        <v>2</v>
      </c>
      <c r="P290" s="90"/>
      <c r="Q290" s="93"/>
      <c r="R290" s="93"/>
      <c r="S290" s="142"/>
      <c r="T290" s="95"/>
      <c r="U290" s="90"/>
      <c r="V290" s="93"/>
      <c r="W290" s="90"/>
      <c r="X290" s="96">
        <f>M290+R290+W290</f>
        <v>0</v>
      </c>
      <c r="Y290" s="97"/>
      <c r="Z290" s="217"/>
      <c r="AA290" s="406" t="s">
        <v>342</v>
      </c>
    </row>
    <row r="291" spans="1:27" s="211" customFormat="1" ht="27.75" customHeight="1">
      <c r="A291" s="114" t="s">
        <v>63</v>
      </c>
      <c r="B291" s="115">
        <v>25</v>
      </c>
      <c r="C291" s="114" t="s">
        <v>359</v>
      </c>
      <c r="D291" s="87"/>
      <c r="E291" s="87"/>
      <c r="F291" s="87"/>
      <c r="G291" s="87"/>
      <c r="H291" s="88">
        <v>1</v>
      </c>
      <c r="I291" s="89">
        <v>4</v>
      </c>
      <c r="J291" s="90"/>
      <c r="K291" s="93"/>
      <c r="L291" s="93"/>
      <c r="M291" s="90"/>
      <c r="N291" s="91"/>
      <c r="O291" s="149"/>
      <c r="P291" s="93"/>
      <c r="Q291" s="93"/>
      <c r="R291" s="93"/>
      <c r="S291" s="142"/>
      <c r="T291" s="95"/>
      <c r="U291" s="90"/>
      <c r="V291" s="93"/>
      <c r="W291" s="90"/>
      <c r="X291" s="96">
        <f>M291+R291+W291</f>
        <v>0</v>
      </c>
      <c r="Y291" s="97"/>
      <c r="Z291" s="217"/>
      <c r="AA291" s="406" t="s">
        <v>342</v>
      </c>
    </row>
    <row r="292" spans="1:27" s="211" customFormat="1" ht="27.75" customHeight="1">
      <c r="A292" s="114" t="s">
        <v>63</v>
      </c>
      <c r="B292" s="115">
        <v>26</v>
      </c>
      <c r="C292" s="114" t="s">
        <v>360</v>
      </c>
      <c r="D292" s="87"/>
      <c r="E292" s="87"/>
      <c r="F292" s="87"/>
      <c r="G292" s="87"/>
      <c r="H292" s="88">
        <v>1</v>
      </c>
      <c r="I292" s="89">
        <v>4</v>
      </c>
      <c r="J292" s="90"/>
      <c r="K292" s="93"/>
      <c r="L292" s="93"/>
      <c r="M292" s="90"/>
      <c r="N292" s="91">
        <v>1</v>
      </c>
      <c r="O292" s="92">
        <v>2</v>
      </c>
      <c r="P292" s="93"/>
      <c r="Q292" s="93"/>
      <c r="R292" s="93"/>
      <c r="S292" s="142"/>
      <c r="T292" s="95"/>
      <c r="U292" s="90"/>
      <c r="V292" s="93"/>
      <c r="W292" s="90"/>
      <c r="X292" s="96">
        <f>M292+R292+W292</f>
        <v>0</v>
      </c>
      <c r="Y292" s="97"/>
      <c r="Z292" s="217"/>
      <c r="AA292" s="406" t="s">
        <v>342</v>
      </c>
    </row>
    <row r="293" spans="1:27" s="211" customFormat="1" ht="27.75" customHeight="1">
      <c r="A293" s="114" t="s">
        <v>63</v>
      </c>
      <c r="B293" s="115">
        <v>27</v>
      </c>
      <c r="C293" s="114" t="s">
        <v>361</v>
      </c>
      <c r="D293" s="87"/>
      <c r="E293" s="87"/>
      <c r="F293" s="87"/>
      <c r="G293" s="87"/>
      <c r="H293" s="88"/>
      <c r="I293" s="89"/>
      <c r="J293" s="90"/>
      <c r="K293" s="93"/>
      <c r="L293" s="93"/>
      <c r="M293" s="90"/>
      <c r="N293" s="91"/>
      <c r="O293" s="92"/>
      <c r="P293" s="93"/>
      <c r="Q293" s="93"/>
      <c r="R293" s="93"/>
      <c r="S293" s="142"/>
      <c r="T293" s="95"/>
      <c r="U293" s="90"/>
      <c r="V293" s="93"/>
      <c r="W293" s="90"/>
      <c r="X293" s="96"/>
      <c r="Y293" s="97"/>
      <c r="Z293" s="184"/>
      <c r="AA293" s="406" t="s">
        <v>342</v>
      </c>
    </row>
    <row r="294" spans="1:27" s="211" customFormat="1" ht="27.75" customHeight="1">
      <c r="A294" s="114" t="s">
        <v>63</v>
      </c>
      <c r="B294" s="115">
        <v>28</v>
      </c>
      <c r="C294" s="114" t="s">
        <v>362</v>
      </c>
      <c r="D294" s="417"/>
      <c r="E294" s="417"/>
      <c r="F294" s="417"/>
      <c r="G294" s="417"/>
      <c r="H294" s="88"/>
      <c r="I294" s="89"/>
      <c r="J294" s="90"/>
      <c r="K294" s="93"/>
      <c r="L294" s="93"/>
      <c r="M294" s="90"/>
      <c r="N294" s="91"/>
      <c r="O294" s="92"/>
      <c r="P294" s="93"/>
      <c r="Q294" s="93"/>
      <c r="R294" s="93"/>
      <c r="S294" s="142"/>
      <c r="T294" s="95"/>
      <c r="U294" s="90"/>
      <c r="V294" s="93"/>
      <c r="W294" s="90"/>
      <c r="X294" s="96"/>
      <c r="Y294" s="97"/>
      <c r="Z294" s="184"/>
      <c r="AA294" s="406"/>
    </row>
    <row r="295" spans="1:27" s="211" customFormat="1" ht="27.75" customHeight="1">
      <c r="A295" s="85" t="s">
        <v>63</v>
      </c>
      <c r="B295" s="86">
        <v>29</v>
      </c>
      <c r="C295" s="85" t="s">
        <v>363</v>
      </c>
      <c r="D295" s="417"/>
      <c r="E295" s="417"/>
      <c r="F295" s="417"/>
      <c r="G295" s="417"/>
      <c r="H295" s="88">
        <v>1</v>
      </c>
      <c r="I295" s="89">
        <v>8</v>
      </c>
      <c r="J295" s="90"/>
      <c r="K295" s="90"/>
      <c r="L295" s="93"/>
      <c r="M295" s="90"/>
      <c r="N295" s="91">
        <v>3</v>
      </c>
      <c r="O295" s="92">
        <v>3</v>
      </c>
      <c r="P295" s="93"/>
      <c r="Q295" s="93"/>
      <c r="R295" s="93"/>
      <c r="S295" s="167">
        <v>3</v>
      </c>
      <c r="T295" s="95">
        <v>2</v>
      </c>
      <c r="U295" s="93"/>
      <c r="V295" s="93"/>
      <c r="W295" s="93"/>
      <c r="X295" s="96">
        <f aca="true" t="shared" si="9" ref="X295:X303">M295+R295+W295</f>
        <v>0</v>
      </c>
      <c r="Y295" s="97"/>
      <c r="Z295" s="184"/>
      <c r="AA295" s="406"/>
    </row>
    <row r="296" spans="1:28" s="211" customFormat="1" ht="27.75" customHeight="1">
      <c r="A296" s="85" t="s">
        <v>63</v>
      </c>
      <c r="B296" s="86">
        <v>30</v>
      </c>
      <c r="C296" s="85" t="s">
        <v>364</v>
      </c>
      <c r="D296" s="261"/>
      <c r="E296" s="261"/>
      <c r="F296" s="261"/>
      <c r="G296" s="261"/>
      <c r="H296" s="88"/>
      <c r="I296" s="89"/>
      <c r="J296" s="90"/>
      <c r="K296" s="90"/>
      <c r="L296" s="93"/>
      <c r="M296" s="90"/>
      <c r="N296" s="91"/>
      <c r="O296" s="92"/>
      <c r="P296" s="93"/>
      <c r="Q296" s="93"/>
      <c r="R296" s="93"/>
      <c r="S296" s="167"/>
      <c r="T296" s="95"/>
      <c r="U296" s="93"/>
      <c r="V296" s="93"/>
      <c r="W296" s="93"/>
      <c r="X296" s="96">
        <f>M296+R296+W296</f>
        <v>0</v>
      </c>
      <c r="Y296" s="97"/>
      <c r="Z296" s="184"/>
      <c r="AA296" s="406" t="s">
        <v>342</v>
      </c>
      <c r="AB296" s="211">
        <v>0.01</v>
      </c>
    </row>
    <row r="297" spans="1:27" s="211" customFormat="1" ht="27.75" customHeight="1">
      <c r="A297" s="572" t="s">
        <v>108</v>
      </c>
      <c r="B297" s="573"/>
      <c r="C297" s="173"/>
      <c r="D297" s="174"/>
      <c r="E297" s="174"/>
      <c r="F297" s="174"/>
      <c r="G297" s="174"/>
      <c r="H297" s="175"/>
      <c r="I297" s="176"/>
      <c r="J297" s="176"/>
      <c r="K297" s="176"/>
      <c r="L297" s="177"/>
      <c r="M297" s="178">
        <f>SUM(M298:M303)</f>
        <v>0</v>
      </c>
      <c r="N297" s="176"/>
      <c r="O297" s="179"/>
      <c r="P297" s="179">
        <f>SUM(P298:P303)</f>
        <v>0</v>
      </c>
      <c r="Q297" s="418"/>
      <c r="R297" s="178">
        <f>SUM(R298:R303)</f>
        <v>0</v>
      </c>
      <c r="S297" s="398"/>
      <c r="T297" s="179">
        <v>0</v>
      </c>
      <c r="U297" s="179">
        <f>SUM(U298:U303)</f>
        <v>0</v>
      </c>
      <c r="V297" s="418"/>
      <c r="W297" s="178">
        <f>SUM(W298:W303)</f>
        <v>0</v>
      </c>
      <c r="X297" s="419">
        <f>M297+R297+W297</f>
        <v>0</v>
      </c>
      <c r="Y297" s="420"/>
      <c r="Z297" s="184"/>
      <c r="AA297" s="406"/>
    </row>
    <row r="298" spans="1:27" s="99" customFormat="1" ht="38.25" customHeight="1">
      <c r="A298" s="85" t="s">
        <v>276</v>
      </c>
      <c r="B298" s="86">
        <v>1</v>
      </c>
      <c r="C298" s="85" t="s">
        <v>365</v>
      </c>
      <c r="D298" s="87"/>
      <c r="E298" s="87"/>
      <c r="F298" s="87"/>
      <c r="G298" s="87"/>
      <c r="H298" s="88">
        <v>2</v>
      </c>
      <c r="I298" s="89">
        <v>4</v>
      </c>
      <c r="J298" s="206"/>
      <c r="K298" s="93"/>
      <c r="L298" s="93"/>
      <c r="M298" s="93"/>
      <c r="N298" s="91"/>
      <c r="O298" s="149"/>
      <c r="P298" s="421"/>
      <c r="Q298" s="422"/>
      <c r="R298" s="90"/>
      <c r="S298" s="142"/>
      <c r="T298" s="423"/>
      <c r="U298" s="422"/>
      <c r="V298" s="422"/>
      <c r="W298" s="90"/>
      <c r="X298" s="96">
        <f t="shared" si="9"/>
        <v>0</v>
      </c>
      <c r="Y298" s="424"/>
      <c r="Z298" s="184"/>
      <c r="AA298" s="168">
        <f>+M297+R297+W297</f>
        <v>0</v>
      </c>
    </row>
    <row r="299" spans="1:27" s="211" customFormat="1" ht="27.75" customHeight="1">
      <c r="A299" s="85" t="s">
        <v>276</v>
      </c>
      <c r="B299" s="86">
        <v>2</v>
      </c>
      <c r="C299" s="85" t="s">
        <v>366</v>
      </c>
      <c r="D299" s="87"/>
      <c r="E299" s="87"/>
      <c r="F299" s="87"/>
      <c r="G299" s="87"/>
      <c r="H299" s="88">
        <v>2</v>
      </c>
      <c r="I299" s="89">
        <v>4</v>
      </c>
      <c r="J299" s="206"/>
      <c r="K299" s="93"/>
      <c r="L299" s="93"/>
      <c r="M299" s="93"/>
      <c r="N299" s="351"/>
      <c r="O299" s="149"/>
      <c r="P299" s="422"/>
      <c r="Q299" s="425"/>
      <c r="R299" s="425"/>
      <c r="S299" s="426"/>
      <c r="T299" s="427"/>
      <c r="U299" s="421"/>
      <c r="V299" s="428"/>
      <c r="W299" s="90"/>
      <c r="X299" s="96">
        <f t="shared" si="9"/>
        <v>0</v>
      </c>
      <c r="Y299" s="424"/>
      <c r="Z299" s="217"/>
      <c r="AA299" s="211" t="s">
        <v>108</v>
      </c>
    </row>
    <row r="300" spans="1:27" s="211" customFormat="1" ht="27.75" customHeight="1">
      <c r="A300" s="85" t="s">
        <v>276</v>
      </c>
      <c r="B300" s="86">
        <v>3</v>
      </c>
      <c r="C300" s="85" t="s">
        <v>367</v>
      </c>
      <c r="D300" s="87"/>
      <c r="E300" s="87"/>
      <c r="F300" s="87"/>
      <c r="G300" s="87"/>
      <c r="H300" s="88">
        <v>1</v>
      </c>
      <c r="I300" s="89">
        <v>4</v>
      </c>
      <c r="J300" s="206"/>
      <c r="K300" s="93"/>
      <c r="L300" s="93"/>
      <c r="M300" s="93"/>
      <c r="N300" s="91"/>
      <c r="O300" s="149"/>
      <c r="P300" s="421"/>
      <c r="Q300" s="422"/>
      <c r="R300" s="425"/>
      <c r="S300" s="426"/>
      <c r="T300" s="427"/>
      <c r="U300" s="422"/>
      <c r="V300" s="422"/>
      <c r="W300" s="90"/>
      <c r="X300" s="96">
        <f t="shared" si="9"/>
        <v>0</v>
      </c>
      <c r="Y300" s="424"/>
      <c r="Z300" s="217"/>
      <c r="AA300" s="211" t="s">
        <v>108</v>
      </c>
    </row>
    <row r="301" spans="1:27" s="211" customFormat="1" ht="27.75" customHeight="1">
      <c r="A301" s="85" t="s">
        <v>276</v>
      </c>
      <c r="B301" s="86">
        <v>4</v>
      </c>
      <c r="C301" s="85" t="s">
        <v>368</v>
      </c>
      <c r="D301" s="87"/>
      <c r="E301" s="87"/>
      <c r="F301" s="87"/>
      <c r="G301" s="87"/>
      <c r="H301" s="88">
        <v>2</v>
      </c>
      <c r="I301" s="89">
        <v>6</v>
      </c>
      <c r="J301" s="206"/>
      <c r="K301" s="93"/>
      <c r="L301" s="93"/>
      <c r="M301" s="93"/>
      <c r="N301" s="91"/>
      <c r="O301" s="149"/>
      <c r="P301" s="421"/>
      <c r="Q301" s="422"/>
      <c r="R301" s="425"/>
      <c r="S301" s="426"/>
      <c r="T301" s="427"/>
      <c r="U301" s="421"/>
      <c r="V301" s="428"/>
      <c r="W301" s="90"/>
      <c r="X301" s="96">
        <f t="shared" si="9"/>
        <v>0</v>
      </c>
      <c r="Y301" s="424"/>
      <c r="Z301" s="217"/>
      <c r="AA301" s="211" t="s">
        <v>108</v>
      </c>
    </row>
    <row r="302" spans="1:27" s="211" customFormat="1" ht="27.75" customHeight="1">
      <c r="A302" s="85" t="s">
        <v>276</v>
      </c>
      <c r="B302" s="86">
        <v>5</v>
      </c>
      <c r="C302" s="85" t="s">
        <v>369</v>
      </c>
      <c r="D302" s="87"/>
      <c r="E302" s="87"/>
      <c r="F302" s="87"/>
      <c r="G302" s="87"/>
      <c r="H302" s="88">
        <v>2</v>
      </c>
      <c r="I302" s="89">
        <v>4</v>
      </c>
      <c r="J302" s="206"/>
      <c r="K302" s="93"/>
      <c r="L302" s="93"/>
      <c r="M302" s="93"/>
      <c r="N302" s="351"/>
      <c r="O302" s="382"/>
      <c r="P302" s="429"/>
      <c r="Q302" s="429"/>
      <c r="R302" s="429"/>
      <c r="S302" s="426"/>
      <c r="T302" s="427"/>
      <c r="U302" s="421"/>
      <c r="V302" s="428"/>
      <c r="W302" s="90"/>
      <c r="X302" s="96">
        <f t="shared" si="9"/>
        <v>0</v>
      </c>
      <c r="Y302" s="424"/>
      <c r="Z302" s="217"/>
      <c r="AA302" s="211" t="s">
        <v>108</v>
      </c>
    </row>
    <row r="303" spans="1:27" s="211" customFormat="1" ht="27.75" customHeight="1">
      <c r="A303" s="85" t="s">
        <v>276</v>
      </c>
      <c r="B303" s="86">
        <v>6</v>
      </c>
      <c r="C303" s="85" t="s">
        <v>370</v>
      </c>
      <c r="D303" s="533"/>
      <c r="E303" s="533"/>
      <c r="F303" s="533"/>
      <c r="G303" s="533"/>
      <c r="H303" s="88">
        <v>2</v>
      </c>
      <c r="I303" s="89">
        <v>6</v>
      </c>
      <c r="J303" s="206"/>
      <c r="K303" s="93"/>
      <c r="L303" s="93"/>
      <c r="M303" s="93"/>
      <c r="N303" s="351"/>
      <c r="O303" s="382"/>
      <c r="P303" s="429"/>
      <c r="Q303" s="429"/>
      <c r="R303" s="429"/>
      <c r="S303" s="426"/>
      <c r="T303" s="427"/>
      <c r="U303" s="421"/>
      <c r="V303" s="428"/>
      <c r="W303" s="90"/>
      <c r="X303" s="96">
        <f t="shared" si="9"/>
        <v>0</v>
      </c>
      <c r="Y303" s="424"/>
      <c r="Z303" s="217"/>
      <c r="AA303" s="211" t="s">
        <v>108</v>
      </c>
    </row>
    <row r="304" spans="1:27" s="211" customFormat="1" ht="27.75" customHeight="1">
      <c r="A304" s="430" t="s">
        <v>8</v>
      </c>
      <c r="B304" s="431"/>
      <c r="C304" s="432"/>
      <c r="D304" s="433"/>
      <c r="E304" s="433"/>
      <c r="F304" s="433"/>
      <c r="G304" s="433"/>
      <c r="H304" s="434"/>
      <c r="I304" s="435"/>
      <c r="J304" s="436"/>
      <c r="K304" s="437"/>
      <c r="L304" s="438"/>
      <c r="M304" s="437"/>
      <c r="N304" s="437"/>
      <c r="O304" s="439"/>
      <c r="P304" s="434"/>
      <c r="Q304" s="439"/>
      <c r="R304" s="440"/>
      <c r="S304" s="441"/>
      <c r="T304" s="434"/>
      <c r="U304" s="434"/>
      <c r="V304" s="439"/>
      <c r="W304" s="440"/>
      <c r="X304" s="442"/>
      <c r="Y304" s="435"/>
      <c r="Z304" s="217"/>
      <c r="AA304" s="211" t="s">
        <v>108</v>
      </c>
    </row>
    <row r="305" spans="1:26" ht="23.25" customHeight="1">
      <c r="A305" s="443" t="s">
        <v>371</v>
      </c>
      <c r="B305" s="431"/>
      <c r="C305" s="432"/>
      <c r="D305" s="433"/>
      <c r="E305" s="433"/>
      <c r="F305" s="443"/>
      <c r="G305" s="443"/>
      <c r="H305" s="434"/>
      <c r="I305" s="435"/>
      <c r="J305" s="436"/>
      <c r="K305" s="437"/>
      <c r="L305" s="438"/>
      <c r="M305" s="437"/>
      <c r="N305" s="437"/>
      <c r="O305" s="439"/>
      <c r="P305" s="434"/>
      <c r="Q305" s="439"/>
      <c r="R305" s="440"/>
      <c r="S305" s="441"/>
      <c r="T305" s="434"/>
      <c r="U305" s="434"/>
      <c r="V305" s="439"/>
      <c r="W305" s="440"/>
      <c r="X305" s="442"/>
      <c r="Y305" s="435"/>
      <c r="Z305" s="444"/>
    </row>
    <row r="306" spans="1:26" ht="23.25" customHeight="1">
      <c r="A306" s="443" t="s">
        <v>372</v>
      </c>
      <c r="B306" s="443"/>
      <c r="C306" s="443"/>
      <c r="D306" s="443"/>
      <c r="E306" s="443"/>
      <c r="F306" s="445"/>
      <c r="G306" s="445"/>
      <c r="H306" s="443"/>
      <c r="I306" s="443"/>
      <c r="J306" s="443"/>
      <c r="K306" s="443"/>
      <c r="L306" s="443"/>
      <c r="M306" s="443"/>
      <c r="N306" s="443"/>
      <c r="O306" s="443"/>
      <c r="P306" s="443"/>
      <c r="Q306" s="443"/>
      <c r="R306" s="443"/>
      <c r="S306" s="443"/>
      <c r="T306" s="443"/>
      <c r="U306" s="446"/>
      <c r="V306" s="446"/>
      <c r="W306" s="446"/>
      <c r="X306" s="447"/>
      <c r="Y306" s="446"/>
      <c r="Z306" s="444"/>
    </row>
    <row r="307" spans="1:20" ht="31.5">
      <c r="A307" s="445"/>
      <c r="B307" s="445"/>
      <c r="C307" s="445"/>
      <c r="D307" s="445"/>
      <c r="E307" s="445"/>
      <c r="F307" s="448">
        <v>0.15</v>
      </c>
      <c r="G307" s="448" t="s">
        <v>373</v>
      </c>
      <c r="H307" s="445"/>
      <c r="I307" s="445"/>
      <c r="J307" s="445"/>
      <c r="K307" s="445"/>
      <c r="L307" s="445"/>
      <c r="M307" s="445"/>
      <c r="N307" s="445"/>
      <c r="O307" s="445"/>
      <c r="P307" s="445"/>
      <c r="Q307" s="445"/>
      <c r="R307" s="445"/>
      <c r="S307" s="445"/>
      <c r="T307" s="445"/>
    </row>
    <row r="308" spans="1:17" ht="31.5">
      <c r="A308" s="451" t="s">
        <v>374</v>
      </c>
      <c r="B308" s="451"/>
      <c r="F308" s="448">
        <v>0.1</v>
      </c>
      <c r="G308" s="448" t="s">
        <v>373</v>
      </c>
      <c r="Q308" s="454"/>
    </row>
    <row r="309" spans="1:7" ht="37.5" customHeight="1" hidden="1">
      <c r="A309" s="451" t="s">
        <v>375</v>
      </c>
      <c r="B309" s="451"/>
      <c r="F309" s="448">
        <v>0.2</v>
      </c>
      <c r="G309" s="448" t="s">
        <v>373</v>
      </c>
    </row>
    <row r="310" spans="1:7" ht="34.5" customHeight="1" hidden="1">
      <c r="A310" s="451" t="s">
        <v>376</v>
      </c>
      <c r="B310" s="451"/>
      <c r="F310" s="448">
        <v>0.3</v>
      </c>
      <c r="G310" s="448" t="s">
        <v>373</v>
      </c>
    </row>
    <row r="311" spans="1:51" ht="34.5" customHeight="1" hidden="1">
      <c r="A311" s="451" t="s">
        <v>377</v>
      </c>
      <c r="B311" s="451"/>
      <c r="F311" s="448">
        <v>1</v>
      </c>
      <c r="G311" s="448" t="s">
        <v>373</v>
      </c>
      <c r="AN311" s="455"/>
      <c r="AO311" s="455"/>
      <c r="AP311" s="455"/>
      <c r="AQ311" s="455"/>
      <c r="AR311" s="455"/>
      <c r="AS311" s="455"/>
      <c r="AT311" s="455"/>
      <c r="AU311" s="455"/>
      <c r="AV311" s="455"/>
      <c r="AW311" s="455"/>
      <c r="AX311" s="455"/>
      <c r="AY311" s="455"/>
    </row>
    <row r="312" spans="1:47" ht="34.5" customHeight="1" hidden="1">
      <c r="A312" s="451" t="s">
        <v>378</v>
      </c>
      <c r="B312" s="451"/>
      <c r="AN312" s="456"/>
      <c r="AO312" s="456"/>
      <c r="AP312" s="457"/>
      <c r="AQ312" s="457"/>
      <c r="AR312" s="457"/>
      <c r="AS312" s="457"/>
      <c r="AT312" s="457"/>
      <c r="AU312" s="457"/>
    </row>
    <row r="313" spans="40:47" ht="31.5" customHeight="1" hidden="1">
      <c r="AN313" s="456"/>
      <c r="AO313" s="456"/>
      <c r="AP313" s="457"/>
      <c r="AQ313" s="457"/>
      <c r="AR313" s="457"/>
      <c r="AS313" s="457"/>
      <c r="AT313" s="457"/>
      <c r="AU313" s="457"/>
    </row>
    <row r="314" spans="40:47" ht="34.5">
      <c r="AN314" s="456"/>
      <c r="AO314" s="456"/>
      <c r="AP314" s="457"/>
      <c r="AQ314" s="457"/>
      <c r="AR314" s="457"/>
      <c r="AS314" s="457"/>
      <c r="AT314" s="457"/>
      <c r="AU314" s="457"/>
    </row>
    <row r="317" ht="31.5">
      <c r="M317" s="458"/>
    </row>
    <row r="320" spans="28:41" ht="39" customHeight="1">
      <c r="AB320" s="551" t="str">
        <f>A1</f>
        <v>ผลการปฏิบัติการสูบน้ำ และระบายน้ำ ในเขต สชป.11 รายงาน ณ วันที่ 17 ก.ย. 62 (ข้อมูล ตั้งแต่ วันที่ 16 ก.ย. 62 วลา 06.00 น. ถึงวันที่ 17 ก.ย. 62  เวลา 06.00 น.)</v>
      </c>
      <c r="AC320" s="551"/>
      <c r="AD320" s="551"/>
      <c r="AE320" s="551"/>
      <c r="AF320" s="551"/>
      <c r="AG320" s="551"/>
      <c r="AH320" s="551"/>
      <c r="AI320" s="551"/>
      <c r="AJ320" s="551"/>
      <c r="AK320" s="551"/>
      <c r="AL320" s="551"/>
      <c r="AM320" s="551"/>
      <c r="AN320" s="459"/>
      <c r="AO320" s="459"/>
    </row>
    <row r="321" spans="28:39" ht="34.5">
      <c r="AB321" s="532"/>
      <c r="AC321" s="460"/>
      <c r="AD321" s="460"/>
      <c r="AE321" s="460"/>
      <c r="AF321" s="460"/>
      <c r="AG321" s="460"/>
      <c r="AH321" s="460"/>
      <c r="AI321" s="460"/>
      <c r="AJ321" s="460"/>
      <c r="AK321" s="460"/>
      <c r="AL321" s="460"/>
      <c r="AM321" s="461"/>
    </row>
    <row r="322" spans="28:39" ht="34.5">
      <c r="AB322" s="552" t="s">
        <v>379</v>
      </c>
      <c r="AC322" s="553"/>
      <c r="AD322" s="548" t="s">
        <v>380</v>
      </c>
      <c r="AE322" s="549"/>
      <c r="AF322" s="548" t="s">
        <v>381</v>
      </c>
      <c r="AG322" s="549"/>
      <c r="AH322" s="548" t="s">
        <v>382</v>
      </c>
      <c r="AI322" s="549"/>
      <c r="AJ322" s="556" t="s">
        <v>383</v>
      </c>
      <c r="AK322" s="557"/>
      <c r="AL322" s="462" t="s">
        <v>384</v>
      </c>
      <c r="AM322" s="558" t="s">
        <v>8</v>
      </c>
    </row>
    <row r="323" spans="28:39" ht="34.5">
      <c r="AB323" s="554"/>
      <c r="AC323" s="555"/>
      <c r="AD323" s="463">
        <f>AJ323</f>
        <v>43725</v>
      </c>
      <c r="AE323" s="463">
        <f>AK323</f>
        <v>43724</v>
      </c>
      <c r="AF323" s="463">
        <f>AJ323</f>
        <v>43725</v>
      </c>
      <c r="AG323" s="463">
        <f>AK323</f>
        <v>43724</v>
      </c>
      <c r="AH323" s="463">
        <f>AJ323</f>
        <v>43725</v>
      </c>
      <c r="AI323" s="463">
        <f>AK323</f>
        <v>43724</v>
      </c>
      <c r="AJ323" s="464">
        <v>43725</v>
      </c>
      <c r="AK323" s="464">
        <v>43724</v>
      </c>
      <c r="AL323" s="465" t="s">
        <v>385</v>
      </c>
      <c r="AM323" s="559"/>
    </row>
    <row r="324" spans="28:39" ht="34.5">
      <c r="AB324" s="543" t="s">
        <v>386</v>
      </c>
      <c r="AC324" s="466" t="s">
        <v>60</v>
      </c>
      <c r="AD324" s="467">
        <f>$M$9</f>
        <v>-2.72664</v>
      </c>
      <c r="AE324" s="467">
        <v>-3.380832</v>
      </c>
      <c r="AF324" s="467">
        <f>R9</f>
        <v>-0.17281</v>
      </c>
      <c r="AG324" s="467">
        <v>0</v>
      </c>
      <c r="AH324" s="468">
        <f>W9</f>
        <v>0</v>
      </c>
      <c r="AI324" s="469">
        <v>0</v>
      </c>
      <c r="AJ324" s="531">
        <f>AD324+AF324+AH324</f>
        <v>-2.8994500000000003</v>
      </c>
      <c r="AK324" s="531">
        <v>-3.380832</v>
      </c>
      <c r="AL324" s="470">
        <f>+P9+U9</f>
        <v>2</v>
      </c>
      <c r="AM324" s="471"/>
    </row>
    <row r="325" spans="28:39" ht="34.5">
      <c r="AB325" s="544"/>
      <c r="AC325" s="466" t="s">
        <v>387</v>
      </c>
      <c r="AD325" s="467">
        <f>$M$51</f>
        <v>0</v>
      </c>
      <c r="AE325" s="467">
        <v>0</v>
      </c>
      <c r="AF325" s="467">
        <f>R51</f>
        <v>0</v>
      </c>
      <c r="AG325" s="467">
        <v>0</v>
      </c>
      <c r="AH325" s="468">
        <f>W51</f>
        <v>0</v>
      </c>
      <c r="AI325" s="469">
        <v>0</v>
      </c>
      <c r="AJ325" s="468">
        <f>AD325+AF325+AH325</f>
        <v>0</v>
      </c>
      <c r="AK325" s="468">
        <v>0</v>
      </c>
      <c r="AL325" s="470">
        <f>+P51+U51</f>
        <v>0</v>
      </c>
      <c r="AM325" s="471"/>
    </row>
    <row r="326" spans="17:39" ht="34.5">
      <c r="Q326" s="472"/>
      <c r="AB326" s="544"/>
      <c r="AC326" s="466" t="s">
        <v>388</v>
      </c>
      <c r="AD326" s="468">
        <f>$M$62</f>
        <v>-0.461052</v>
      </c>
      <c r="AE326" s="468">
        <v>0</v>
      </c>
      <c r="AF326" s="467">
        <f>R62</f>
        <v>0</v>
      </c>
      <c r="AG326" s="467">
        <v>0</v>
      </c>
      <c r="AH326" s="468">
        <f>W62</f>
        <v>0</v>
      </c>
      <c r="AI326" s="469">
        <v>0</v>
      </c>
      <c r="AJ326" s="468">
        <f>AD326+AF326+AH326</f>
        <v>-0.461052</v>
      </c>
      <c r="AK326" s="468">
        <v>0</v>
      </c>
      <c r="AL326" s="470">
        <f>+P62+U62</f>
        <v>0</v>
      </c>
      <c r="AM326" s="467"/>
    </row>
    <row r="327" spans="16:39" ht="34.5">
      <c r="P327" s="472"/>
      <c r="Y327" s="449" t="s">
        <v>0</v>
      </c>
      <c r="AB327" s="544"/>
      <c r="AC327" s="466" t="s">
        <v>108</v>
      </c>
      <c r="AD327" s="467">
        <f>$M$80</f>
        <v>2.1487516542843</v>
      </c>
      <c r="AE327" s="467">
        <v>0</v>
      </c>
      <c r="AF327" s="467">
        <f>R80</f>
        <v>7.6895999999999995</v>
      </c>
      <c r="AG327" s="467">
        <v>7.0416</v>
      </c>
      <c r="AH327" s="468">
        <f>W80</f>
        <v>0</v>
      </c>
      <c r="AI327" s="469">
        <v>0</v>
      </c>
      <c r="AJ327" s="468">
        <f>AD327+AF327+AH327</f>
        <v>9.838351654284299</v>
      </c>
      <c r="AK327" s="468">
        <v>7.0416</v>
      </c>
      <c r="AL327" s="470">
        <f>+P80+U80</f>
        <v>20</v>
      </c>
      <c r="AM327" s="467"/>
    </row>
    <row r="328" spans="15:39" ht="35.25" thickBot="1">
      <c r="O328" s="473"/>
      <c r="P328" s="449" t="s">
        <v>389</v>
      </c>
      <c r="Q328" s="472"/>
      <c r="AB328" s="545"/>
      <c r="AC328" s="474" t="s">
        <v>390</v>
      </c>
      <c r="AD328" s="475">
        <f>SUM(AD324:AD327)</f>
        <v>-1.0389403457157003</v>
      </c>
      <c r="AE328" s="475">
        <v>-3.380832</v>
      </c>
      <c r="AF328" s="475">
        <f>SUM(AF324:AF327)</f>
        <v>7.516789999999999</v>
      </c>
      <c r="AG328" s="475">
        <v>7.0416</v>
      </c>
      <c r="AH328" s="475">
        <f>SUM(AH324:AH327)</f>
        <v>0</v>
      </c>
      <c r="AI328" s="475">
        <v>0</v>
      </c>
      <c r="AJ328" s="476">
        <f>SUM(AJ324:AJ327)</f>
        <v>6.477849654284299</v>
      </c>
      <c r="AK328" s="476">
        <v>3.660768</v>
      </c>
      <c r="AL328" s="477">
        <f>SUM(AL324:AL327)</f>
        <v>22</v>
      </c>
      <c r="AM328" s="534"/>
    </row>
    <row r="329" spans="28:39" ht="34.5">
      <c r="AB329" s="546" t="s">
        <v>391</v>
      </c>
      <c r="AC329" s="478" t="s">
        <v>60</v>
      </c>
      <c r="AD329" s="479">
        <f>M215</f>
        <v>0.718848</v>
      </c>
      <c r="AE329" s="479">
        <v>-0.681696</v>
      </c>
      <c r="AF329" s="479">
        <f>R215</f>
        <v>0</v>
      </c>
      <c r="AG329" s="479">
        <v>0</v>
      </c>
      <c r="AH329" s="480">
        <f>W215</f>
        <v>0</v>
      </c>
      <c r="AI329" s="481">
        <v>0</v>
      </c>
      <c r="AJ329" s="480">
        <f>AD329+AF329+AH329</f>
        <v>0.718848</v>
      </c>
      <c r="AK329" s="480">
        <v>-0.681696</v>
      </c>
      <c r="AL329" s="482">
        <f>P217+U217</f>
        <v>0</v>
      </c>
      <c r="AM329" s="479"/>
    </row>
    <row r="330" spans="11:39" ht="34.5">
      <c r="K330" s="483"/>
      <c r="L330" s="483"/>
      <c r="M330" s="484"/>
      <c r="N330" s="483"/>
      <c r="O330" s="483"/>
      <c r="AB330" s="544"/>
      <c r="AC330" s="466" t="s">
        <v>46</v>
      </c>
      <c r="AD330" s="467">
        <f>M119</f>
        <v>0</v>
      </c>
      <c r="AE330" s="467">
        <v>0</v>
      </c>
      <c r="AF330" s="467">
        <f>R119</f>
        <v>0</v>
      </c>
      <c r="AG330" s="467">
        <v>0</v>
      </c>
      <c r="AH330" s="468">
        <f>W119</f>
        <v>0</v>
      </c>
      <c r="AI330" s="469">
        <v>0</v>
      </c>
      <c r="AJ330" s="468">
        <f>AD330+AF330+AH330</f>
        <v>0</v>
      </c>
      <c r="AK330" s="468">
        <v>0</v>
      </c>
      <c r="AL330" s="470">
        <f>+P119+U119</f>
        <v>0</v>
      </c>
      <c r="AM330" s="487"/>
    </row>
    <row r="331" spans="11:39" ht="34.5">
      <c r="K331" s="485"/>
      <c r="L331" s="485"/>
      <c r="M331" s="484"/>
      <c r="N331" s="485"/>
      <c r="O331" s="485"/>
      <c r="AB331" s="544"/>
      <c r="AC331" s="466" t="s">
        <v>108</v>
      </c>
      <c r="AD331" s="467">
        <f>M297</f>
        <v>0</v>
      </c>
      <c r="AE331" s="467">
        <v>0</v>
      </c>
      <c r="AF331" s="467">
        <f>R297</f>
        <v>0</v>
      </c>
      <c r="AG331" s="467">
        <v>0</v>
      </c>
      <c r="AH331" s="468">
        <f>W297</f>
        <v>0</v>
      </c>
      <c r="AI331" s="469">
        <v>0</v>
      </c>
      <c r="AJ331" s="468">
        <f>AD331+AF331+AH331</f>
        <v>0</v>
      </c>
      <c r="AK331" s="468">
        <v>0</v>
      </c>
      <c r="AL331" s="470">
        <f>+P297+U297</f>
        <v>0</v>
      </c>
      <c r="AM331" s="479"/>
    </row>
    <row r="332" spans="11:39" ht="34.5">
      <c r="K332" s="483"/>
      <c r="L332" s="483"/>
      <c r="M332" s="484"/>
      <c r="N332" s="483"/>
      <c r="O332" s="483"/>
      <c r="U332" s="449" t="s">
        <v>0</v>
      </c>
      <c r="AB332" s="547"/>
      <c r="AC332" s="486" t="s">
        <v>392</v>
      </c>
      <c r="AD332" s="487">
        <f>SUM(AD329:AD331)</f>
        <v>0.718848</v>
      </c>
      <c r="AE332" s="487">
        <v>-0.681696</v>
      </c>
      <c r="AF332" s="487">
        <f>SUM(AF329:AF331)</f>
        <v>0</v>
      </c>
      <c r="AG332" s="487">
        <v>0</v>
      </c>
      <c r="AH332" s="487">
        <f>SUM(AH329:AH331)</f>
        <v>0</v>
      </c>
      <c r="AI332" s="487">
        <v>0</v>
      </c>
      <c r="AJ332" s="488">
        <f>SUM(AJ329:AJ331)</f>
        <v>0.718848</v>
      </c>
      <c r="AK332" s="488">
        <v>-0.681696</v>
      </c>
      <c r="AL332" s="489">
        <f>SUM(AL329:AL331)</f>
        <v>0</v>
      </c>
      <c r="AM332" s="467"/>
    </row>
    <row r="333" spans="11:39" ht="34.5">
      <c r="K333" s="483"/>
      <c r="L333" s="483"/>
      <c r="M333" s="484"/>
      <c r="N333" s="483"/>
      <c r="O333" s="483"/>
      <c r="X333" s="490"/>
      <c r="AB333" s="548" t="s">
        <v>393</v>
      </c>
      <c r="AC333" s="549"/>
      <c r="AD333" s="491">
        <f>+AD328+AD332</f>
        <v>-0.3200923457157002</v>
      </c>
      <c r="AE333" s="491">
        <v>-4.0625279999999995</v>
      </c>
      <c r="AF333" s="491">
        <f>+AF328+AF332</f>
        <v>7.516789999999999</v>
      </c>
      <c r="AG333" s="491">
        <v>7.0416</v>
      </c>
      <c r="AH333" s="491">
        <f>+AH328+AH332</f>
        <v>0</v>
      </c>
      <c r="AI333" s="491">
        <v>0</v>
      </c>
      <c r="AJ333" s="492">
        <f>+AJ328+AJ332</f>
        <v>7.196697654284299</v>
      </c>
      <c r="AK333" s="492">
        <v>2.979072</v>
      </c>
      <c r="AL333" s="493">
        <f>+AL328+AL332</f>
        <v>22</v>
      </c>
      <c r="AM333" s="467"/>
    </row>
    <row r="334" spans="11:38" ht="34.5">
      <c r="K334" s="483"/>
      <c r="L334" s="483"/>
      <c r="M334" s="484"/>
      <c r="N334" s="483"/>
      <c r="O334" s="483"/>
      <c r="W334" s="494"/>
      <c r="X334" s="460"/>
      <c r="AB334" s="495" t="s">
        <v>394</v>
      </c>
      <c r="AC334" s="550"/>
      <c r="AD334" s="550"/>
      <c r="AE334" s="550"/>
      <c r="AF334" s="550"/>
      <c r="AG334" s="496"/>
      <c r="AH334" s="497"/>
      <c r="AI334" s="497"/>
      <c r="AJ334" s="498"/>
      <c r="AK334" s="498"/>
      <c r="AL334" s="498"/>
    </row>
    <row r="335" spans="11:39" ht="37.5" customHeight="1">
      <c r="K335" s="483"/>
      <c r="L335" s="483"/>
      <c r="M335" s="484"/>
      <c r="N335" s="483"/>
      <c r="O335" s="483"/>
      <c r="W335" s="499"/>
      <c r="X335" s="499"/>
      <c r="Y335" s="460"/>
      <c r="Z335" s="449"/>
      <c r="AA335" s="449"/>
      <c r="AB335" s="500" t="s">
        <v>395</v>
      </c>
      <c r="AC335" s="500"/>
      <c r="AD335" s="500"/>
      <c r="AE335" s="500"/>
      <c r="AF335" s="500"/>
      <c r="AG335" s="500"/>
      <c r="AH335" s="501"/>
      <c r="AI335" s="502"/>
      <c r="AJ335" s="502"/>
      <c r="AK335" s="502"/>
      <c r="AL335" s="502"/>
      <c r="AM335" s="502"/>
    </row>
    <row r="336" spans="11:39" ht="31.5" customHeight="1" hidden="1">
      <c r="K336" s="485">
        <v>0</v>
      </c>
      <c r="L336" s="485">
        <v>0</v>
      </c>
      <c r="M336" s="484"/>
      <c r="N336" s="485">
        <v>0</v>
      </c>
      <c r="O336" s="485">
        <v>0</v>
      </c>
      <c r="W336" s="570"/>
      <c r="X336" s="571"/>
      <c r="Y336" s="503"/>
      <c r="Z336" s="460"/>
      <c r="AA336" s="460"/>
      <c r="AB336" s="460"/>
      <c r="AC336" s="460"/>
      <c r="AD336" s="460"/>
      <c r="AE336" s="460"/>
      <c r="AF336" s="460"/>
      <c r="AG336" s="460"/>
      <c r="AH336" s="460"/>
      <c r="AI336" s="460"/>
      <c r="AJ336" s="504"/>
      <c r="AK336" s="505"/>
      <c r="AL336" s="505"/>
      <c r="AM336" s="451"/>
    </row>
    <row r="337" spans="11:39" ht="31.5" customHeight="1" hidden="1">
      <c r="K337" s="483">
        <v>6</v>
      </c>
      <c r="L337" s="483" t="s">
        <v>58</v>
      </c>
      <c r="M337" s="484"/>
      <c r="N337" s="483">
        <v>6</v>
      </c>
      <c r="O337" s="483" t="s">
        <v>58</v>
      </c>
      <c r="W337" s="570"/>
      <c r="X337" s="571"/>
      <c r="Y337" s="506"/>
      <c r="Z337" s="507"/>
      <c r="AA337" s="539"/>
      <c r="AB337" s="540"/>
      <c r="AC337" s="539"/>
      <c r="AD337" s="540"/>
      <c r="AE337" s="539"/>
      <c r="AF337" s="540"/>
      <c r="AG337" s="539"/>
      <c r="AH337" s="540"/>
      <c r="AI337" s="508"/>
      <c r="AJ337" s="541"/>
      <c r="AK337" s="505"/>
      <c r="AL337" s="505"/>
      <c r="AM337" s="451"/>
    </row>
    <row r="338" spans="11:39" ht="31.5" customHeight="1" hidden="1">
      <c r="K338" s="483">
        <v>5.799999999999999</v>
      </c>
      <c r="L338" s="483" t="s">
        <v>58</v>
      </c>
      <c r="M338" s="484"/>
      <c r="N338" s="483">
        <v>5.799999999999999</v>
      </c>
      <c r="O338" s="483" t="s">
        <v>58</v>
      </c>
      <c r="W338" s="494"/>
      <c r="X338" s="494"/>
      <c r="Z338" s="509"/>
      <c r="AA338" s="510"/>
      <c r="AB338" s="510"/>
      <c r="AC338" s="510"/>
      <c r="AD338" s="510"/>
      <c r="AE338" s="510"/>
      <c r="AF338" s="510"/>
      <c r="AG338" s="510"/>
      <c r="AH338" s="510"/>
      <c r="AI338" s="511"/>
      <c r="AJ338" s="542"/>
      <c r="AK338" s="505"/>
      <c r="AL338" s="505"/>
      <c r="AM338" s="451"/>
    </row>
    <row r="339" spans="11:39" ht="31.5" customHeight="1" hidden="1">
      <c r="K339" s="483">
        <v>7</v>
      </c>
      <c r="L339" s="483" t="s">
        <v>58</v>
      </c>
      <c r="M339" s="484"/>
      <c r="N339" s="483">
        <v>7</v>
      </c>
      <c r="O339" s="483" t="s">
        <v>58</v>
      </c>
      <c r="W339" s="494"/>
      <c r="X339" s="494"/>
      <c r="Y339" s="490"/>
      <c r="Z339" s="512"/>
      <c r="AA339" s="513"/>
      <c r="AB339" s="513"/>
      <c r="AC339" s="513"/>
      <c r="AD339" s="513"/>
      <c r="AE339" s="513"/>
      <c r="AF339" s="513"/>
      <c r="AG339" s="513"/>
      <c r="AH339" s="513"/>
      <c r="AI339" s="514"/>
      <c r="AJ339" s="515"/>
      <c r="AK339" s="505"/>
      <c r="AL339" s="505"/>
      <c r="AM339" s="451"/>
    </row>
    <row r="340" spans="9:39" ht="31.5" customHeight="1" hidden="1">
      <c r="I340" s="484"/>
      <c r="K340" s="444"/>
      <c r="L340" s="516"/>
      <c r="M340" s="484"/>
      <c r="N340" s="484"/>
      <c r="O340" s="444"/>
      <c r="W340" s="494"/>
      <c r="X340" s="494"/>
      <c r="Y340" s="460"/>
      <c r="Z340" s="512"/>
      <c r="AA340" s="513"/>
      <c r="AB340" s="513"/>
      <c r="AC340" s="513"/>
      <c r="AD340" s="513"/>
      <c r="AE340" s="513"/>
      <c r="AF340" s="513"/>
      <c r="AG340" s="513"/>
      <c r="AH340" s="513"/>
      <c r="AI340" s="514"/>
      <c r="AJ340" s="515"/>
      <c r="AK340" s="505"/>
      <c r="AL340" s="505"/>
      <c r="AM340" s="451"/>
    </row>
    <row r="341" spans="23:39" ht="37.5">
      <c r="W341" s="494"/>
      <c r="X341" s="494"/>
      <c r="Z341" s="512"/>
      <c r="AA341" s="513"/>
      <c r="AB341" s="517" t="s">
        <v>397</v>
      </c>
      <c r="AC341" s="518"/>
      <c r="AD341" s="518"/>
      <c r="AE341" s="518"/>
      <c r="AF341" s="513"/>
      <c r="AG341" s="513"/>
      <c r="AH341" s="513"/>
      <c r="AI341" s="519"/>
      <c r="AJ341" s="520"/>
      <c r="AK341" s="505"/>
      <c r="AL341" s="505"/>
      <c r="AM341" s="451"/>
    </row>
    <row r="342" spans="23:39" ht="31.5">
      <c r="W342" s="494"/>
      <c r="X342" s="494"/>
      <c r="Z342" s="512"/>
      <c r="AA342" s="513"/>
      <c r="AB342" s="513"/>
      <c r="AC342" s="513"/>
      <c r="AD342" s="513"/>
      <c r="AE342" s="513"/>
      <c r="AF342" s="513"/>
      <c r="AG342" s="513"/>
      <c r="AH342" s="513"/>
      <c r="AI342" s="514"/>
      <c r="AJ342" s="515"/>
      <c r="AK342" s="505"/>
      <c r="AL342" s="505"/>
      <c r="AM342" s="451"/>
    </row>
    <row r="343" spans="23:39" ht="31.5">
      <c r="W343" s="494"/>
      <c r="X343" s="494"/>
      <c r="Z343" s="521"/>
      <c r="AA343" s="522"/>
      <c r="AB343" s="522"/>
      <c r="AC343" s="522"/>
      <c r="AD343" s="522"/>
      <c r="AE343" s="522"/>
      <c r="AF343" s="522"/>
      <c r="AG343" s="522"/>
      <c r="AH343" s="522"/>
      <c r="AI343" s="523"/>
      <c r="AJ343" s="515"/>
      <c r="AK343" s="505"/>
      <c r="AL343" s="505"/>
      <c r="AM343" s="451"/>
    </row>
    <row r="344" spans="23:39" ht="31.5">
      <c r="W344" s="494"/>
      <c r="X344" s="494"/>
      <c r="Z344" s="512"/>
      <c r="AA344" s="513"/>
      <c r="AB344" s="513"/>
      <c r="AC344" s="513"/>
      <c r="AD344" s="513"/>
      <c r="AE344" s="513"/>
      <c r="AF344" s="513"/>
      <c r="AG344" s="513"/>
      <c r="AH344" s="513"/>
      <c r="AI344" s="514"/>
      <c r="AJ344" s="515"/>
      <c r="AK344" s="505"/>
      <c r="AL344" s="505"/>
      <c r="AM344" s="451"/>
    </row>
    <row r="345" spans="23:39" ht="31.5">
      <c r="W345" s="494"/>
      <c r="X345" s="494"/>
      <c r="Z345" s="512"/>
      <c r="AA345" s="513"/>
      <c r="AB345" s="513"/>
      <c r="AC345" s="513"/>
      <c r="AD345" s="513"/>
      <c r="AE345" s="513"/>
      <c r="AF345" s="513"/>
      <c r="AG345" s="513"/>
      <c r="AH345" s="513"/>
      <c r="AI345" s="514"/>
      <c r="AJ345" s="515"/>
      <c r="AK345" s="505"/>
      <c r="AL345" s="505"/>
      <c r="AM345" s="451"/>
    </row>
    <row r="346" spans="23:39" ht="31.5">
      <c r="W346" s="494"/>
      <c r="X346" s="494"/>
      <c r="Z346" s="512"/>
      <c r="AA346" s="513"/>
      <c r="AB346" s="513"/>
      <c r="AC346" s="513"/>
      <c r="AD346" s="513"/>
      <c r="AE346" s="513"/>
      <c r="AF346" s="513"/>
      <c r="AG346" s="513"/>
      <c r="AH346" s="513"/>
      <c r="AI346" s="514"/>
      <c r="AJ346" s="515"/>
      <c r="AK346" s="524"/>
      <c r="AM346" s="524"/>
    </row>
    <row r="347" spans="23:39" ht="31.5">
      <c r="W347" s="494"/>
      <c r="X347" s="494"/>
      <c r="Y347" s="525"/>
      <c r="Z347" s="521"/>
      <c r="AA347" s="522"/>
      <c r="AB347" s="522"/>
      <c r="AC347" s="522"/>
      <c r="AD347" s="522"/>
      <c r="AE347" s="522"/>
      <c r="AF347" s="522"/>
      <c r="AG347" s="522"/>
      <c r="AH347" s="522"/>
      <c r="AI347" s="523"/>
      <c r="AJ347" s="515"/>
      <c r="AK347" s="524"/>
      <c r="AL347" s="524"/>
      <c r="AM347" s="451"/>
    </row>
    <row r="348" spans="26:39" ht="31.5">
      <c r="Z348" s="525"/>
      <c r="AA348" s="526"/>
      <c r="AB348" s="526"/>
      <c r="AC348" s="526"/>
      <c r="AD348" s="526"/>
      <c r="AE348" s="526"/>
      <c r="AF348" s="526"/>
      <c r="AG348" s="526"/>
      <c r="AH348" s="526"/>
      <c r="AI348" s="527"/>
      <c r="AJ348" s="515"/>
      <c r="AK348" s="524"/>
      <c r="AL348" s="524"/>
      <c r="AM348" s="451"/>
    </row>
    <row r="349" spans="28:39" ht="31.5">
      <c r="AB349" s="505"/>
      <c r="AC349" s="524"/>
      <c r="AD349" s="524"/>
      <c r="AE349" s="524"/>
      <c r="AF349" s="524"/>
      <c r="AG349" s="524"/>
      <c r="AH349" s="528"/>
      <c r="AI349" s="524"/>
      <c r="AJ349" s="528"/>
      <c r="AK349" s="524"/>
      <c r="AL349" s="524"/>
      <c r="AM349" s="451"/>
    </row>
    <row r="350" spans="28:39" ht="31.5">
      <c r="AB350" s="505"/>
      <c r="AC350" s="524"/>
      <c r="AD350" s="524"/>
      <c r="AE350" s="524"/>
      <c r="AF350" s="524"/>
      <c r="AG350" s="524"/>
      <c r="AH350" s="528"/>
      <c r="AI350" s="524"/>
      <c r="AJ350" s="528"/>
      <c r="AK350" s="524"/>
      <c r="AL350" s="524"/>
      <c r="AM350" s="451"/>
    </row>
    <row r="351" spans="28:39" ht="31.5">
      <c r="AB351" s="529"/>
      <c r="AC351" s="505"/>
      <c r="AD351" s="505"/>
      <c r="AE351" s="505"/>
      <c r="AF351" s="505"/>
      <c r="AG351" s="505"/>
      <c r="AH351" s="451"/>
      <c r="AI351" s="505"/>
      <c r="AJ351" s="451"/>
      <c r="AK351" s="505"/>
      <c r="AL351" s="505"/>
      <c r="AM351" s="451"/>
    </row>
    <row r="352" spans="28:39" ht="31.5">
      <c r="AB352" s="505"/>
      <c r="AC352" s="505"/>
      <c r="AD352" s="505"/>
      <c r="AE352" s="505"/>
      <c r="AF352" s="505"/>
      <c r="AG352" s="505"/>
      <c r="AH352" s="451"/>
      <c r="AI352" s="505"/>
      <c r="AJ352" s="451"/>
      <c r="AK352" s="505"/>
      <c r="AL352" s="505"/>
      <c r="AM352" s="451"/>
    </row>
    <row r="353" spans="28:39" ht="31.5">
      <c r="AB353" s="505"/>
      <c r="AC353" s="505"/>
      <c r="AD353" s="505"/>
      <c r="AE353" s="505"/>
      <c r="AF353" s="505"/>
      <c r="AG353" s="505"/>
      <c r="AH353" s="451"/>
      <c r="AI353" s="505"/>
      <c r="AJ353" s="451"/>
      <c r="AK353" s="505"/>
      <c r="AL353" s="505"/>
      <c r="AM353" s="451"/>
    </row>
    <row r="354" spans="28:39" ht="31.5">
      <c r="AB354" s="505"/>
      <c r="AC354" s="505"/>
      <c r="AD354" s="505"/>
      <c r="AE354" s="505"/>
      <c r="AF354" s="505"/>
      <c r="AG354" s="505"/>
      <c r="AH354" s="451"/>
      <c r="AI354" s="505"/>
      <c r="AJ354" s="451"/>
      <c r="AK354" s="505"/>
      <c r="AL354" s="505"/>
      <c r="AM354" s="451"/>
    </row>
    <row r="355" spans="28:39" ht="31.5">
      <c r="AB355" s="505"/>
      <c r="AC355" s="505"/>
      <c r="AD355" s="505"/>
      <c r="AE355" s="505"/>
      <c r="AF355" s="505"/>
      <c r="AG355" s="505"/>
      <c r="AH355" s="451"/>
      <c r="AI355" s="505"/>
      <c r="AJ355" s="451"/>
      <c r="AK355" s="505"/>
      <c r="AL355" s="505"/>
      <c r="AM355" s="451"/>
    </row>
    <row r="356" spans="28:39" ht="31.5">
      <c r="AB356" s="505"/>
      <c r="AC356" s="505"/>
      <c r="AD356" s="505"/>
      <c r="AE356" s="505"/>
      <c r="AF356" s="505"/>
      <c r="AG356" s="505"/>
      <c r="AH356" s="451"/>
      <c r="AI356" s="505"/>
      <c r="AJ356" s="451"/>
      <c r="AK356" s="505"/>
      <c r="AL356" s="505"/>
      <c r="AM356" s="451"/>
    </row>
    <row r="357" spans="28:39" ht="31.5">
      <c r="AB357" s="505"/>
      <c r="AC357" s="505"/>
      <c r="AD357" s="505"/>
      <c r="AE357" s="505"/>
      <c r="AF357" s="505"/>
      <c r="AG357" s="505"/>
      <c r="AH357" s="451"/>
      <c r="AI357" s="505"/>
      <c r="AJ357" s="451"/>
      <c r="AK357" s="505"/>
      <c r="AL357" s="505"/>
      <c r="AM357" s="451"/>
    </row>
    <row r="358" spans="28:39" ht="31.5">
      <c r="AB358" s="505"/>
      <c r="AC358" s="505"/>
      <c r="AD358" s="505"/>
      <c r="AE358" s="505"/>
      <c r="AF358" s="505"/>
      <c r="AG358" s="505"/>
      <c r="AH358" s="451"/>
      <c r="AI358" s="505"/>
      <c r="AJ358" s="451"/>
      <c r="AK358" s="505"/>
      <c r="AL358" s="505"/>
      <c r="AM358" s="451"/>
    </row>
    <row r="359" spans="28:39" ht="31.5">
      <c r="AB359" s="505"/>
      <c r="AC359" s="505"/>
      <c r="AD359" s="505"/>
      <c r="AE359" s="505"/>
      <c r="AF359" s="505"/>
      <c r="AG359" s="505"/>
      <c r="AH359" s="451"/>
      <c r="AI359" s="505"/>
      <c r="AJ359" s="451"/>
      <c r="AK359" s="505"/>
      <c r="AL359" s="505"/>
      <c r="AM359" s="451"/>
    </row>
    <row r="360" spans="28:39" ht="31.5">
      <c r="AB360" s="505"/>
      <c r="AC360" s="505"/>
      <c r="AD360" s="505"/>
      <c r="AE360" s="505"/>
      <c r="AF360" s="505"/>
      <c r="AG360" s="505"/>
      <c r="AH360" s="451"/>
      <c r="AI360" s="505"/>
      <c r="AJ360" s="451"/>
      <c r="AK360" s="505"/>
      <c r="AL360" s="505"/>
      <c r="AM360" s="451"/>
    </row>
    <row r="361" spans="28:39" ht="31.5">
      <c r="AB361" s="505"/>
      <c r="AC361" s="505"/>
      <c r="AD361" s="505"/>
      <c r="AE361" s="505"/>
      <c r="AF361" s="505"/>
      <c r="AG361" s="505"/>
      <c r="AH361" s="451"/>
      <c r="AI361" s="505"/>
      <c r="AJ361" s="451"/>
      <c r="AK361" s="505"/>
      <c r="AL361" s="505"/>
      <c r="AM361" s="451"/>
    </row>
    <row r="362" spans="28:39" ht="31.5">
      <c r="AB362" s="505"/>
      <c r="AC362" s="505"/>
      <c r="AD362" s="505"/>
      <c r="AE362" s="505"/>
      <c r="AF362" s="505"/>
      <c r="AG362" s="505"/>
      <c r="AH362" s="451"/>
      <c r="AI362" s="505"/>
      <c r="AJ362" s="451"/>
      <c r="AK362" s="505"/>
      <c r="AL362" s="505"/>
      <c r="AM362" s="451"/>
    </row>
    <row r="363" spans="28:39" ht="31.5">
      <c r="AB363" s="505"/>
      <c r="AC363" s="505"/>
      <c r="AD363" s="505"/>
      <c r="AE363" s="505"/>
      <c r="AF363" s="505"/>
      <c r="AG363" s="505"/>
      <c r="AH363" s="451"/>
      <c r="AI363" s="505"/>
      <c r="AJ363" s="451"/>
      <c r="AK363" s="505"/>
      <c r="AL363" s="505"/>
      <c r="AM363" s="451"/>
    </row>
    <row r="364" spans="28:39" ht="31.5">
      <c r="AB364" s="505"/>
      <c r="AC364" s="524"/>
      <c r="AD364" s="524"/>
      <c r="AE364" s="524"/>
      <c r="AF364" s="524"/>
      <c r="AG364" s="524"/>
      <c r="AH364" s="528"/>
      <c r="AI364" s="524"/>
      <c r="AJ364" s="528"/>
      <c r="AK364" s="524"/>
      <c r="AL364" s="524"/>
      <c r="AM364" s="451"/>
    </row>
    <row r="365" spans="28:39" ht="31.5">
      <c r="AB365" s="505"/>
      <c r="AC365" s="524"/>
      <c r="AD365" s="524"/>
      <c r="AE365" s="524"/>
      <c r="AF365" s="524"/>
      <c r="AG365" s="524"/>
      <c r="AH365" s="528"/>
      <c r="AI365" s="524"/>
      <c r="AJ365" s="528"/>
      <c r="AK365" s="524"/>
      <c r="AL365" s="524"/>
      <c r="AM365" s="451"/>
    </row>
  </sheetData>
  <sheetProtection/>
  <mergeCells count="69">
    <mergeCell ref="AD10:AF10"/>
    <mergeCell ref="A1:Y1"/>
    <mergeCell ref="A3:A6"/>
    <mergeCell ref="B3:B6"/>
    <mergeCell ref="C3:C6"/>
    <mergeCell ref="D3:E4"/>
    <mergeCell ref="F3:G4"/>
    <mergeCell ref="H3:W3"/>
    <mergeCell ref="Y3:Y6"/>
    <mergeCell ref="Z3:Z6"/>
    <mergeCell ref="H4:M4"/>
    <mergeCell ref="N4:R4"/>
    <mergeCell ref="S4:W4"/>
    <mergeCell ref="AD9:AG9"/>
    <mergeCell ref="AD42:AF42"/>
    <mergeCell ref="AD11:AF11"/>
    <mergeCell ref="AD16:AF16"/>
    <mergeCell ref="AD17:AF17"/>
    <mergeCell ref="AD22:AG22"/>
    <mergeCell ref="AD23:AF23"/>
    <mergeCell ref="AD24:AF24"/>
    <mergeCell ref="AD29:AF29"/>
    <mergeCell ref="AD30:AF30"/>
    <mergeCell ref="AD36:AF36"/>
    <mergeCell ref="AD37:AF37"/>
    <mergeCell ref="AD41:AF41"/>
    <mergeCell ref="AD72:AH72"/>
    <mergeCell ref="AD47:AG47"/>
    <mergeCell ref="AD48:AF48"/>
    <mergeCell ref="AD49:AF49"/>
    <mergeCell ref="A51:B51"/>
    <mergeCell ref="AD55:AG55"/>
    <mergeCell ref="AD56:AF56"/>
    <mergeCell ref="AD57:AF57"/>
    <mergeCell ref="A62:B62"/>
    <mergeCell ref="AD65:AH65"/>
    <mergeCell ref="AD66:AH66"/>
    <mergeCell ref="AD67:AF67"/>
    <mergeCell ref="A119:B119"/>
    <mergeCell ref="AD73:AF73"/>
    <mergeCell ref="AD78:AF78"/>
    <mergeCell ref="AD79:AF79"/>
    <mergeCell ref="A80:B80"/>
    <mergeCell ref="AD84:AF84"/>
    <mergeCell ref="AD85:AF85"/>
    <mergeCell ref="AD86:AF86"/>
    <mergeCell ref="AD87:AF88"/>
    <mergeCell ref="AG87:AG88"/>
    <mergeCell ref="AH87:AH88"/>
    <mergeCell ref="A97:B97"/>
    <mergeCell ref="W336:X337"/>
    <mergeCell ref="AA337:AB337"/>
    <mergeCell ref="AC337:AD337"/>
    <mergeCell ref="AE337:AF337"/>
    <mergeCell ref="A215:B215"/>
    <mergeCell ref="A297:B297"/>
    <mergeCell ref="AB320:AM320"/>
    <mergeCell ref="AB322:AC323"/>
    <mergeCell ref="AD322:AE322"/>
    <mergeCell ref="AF322:AG322"/>
    <mergeCell ref="AH322:AI322"/>
    <mergeCell ref="AJ322:AK322"/>
    <mergeCell ref="AM322:AM323"/>
    <mergeCell ref="AG337:AH337"/>
    <mergeCell ref="AJ337:AJ338"/>
    <mergeCell ref="AB324:AB328"/>
    <mergeCell ref="AB329:AB332"/>
    <mergeCell ref="AB333:AC333"/>
    <mergeCell ref="AC334:AF334"/>
  </mergeCells>
  <conditionalFormatting sqref="AD324:AD332 AF324:AF332 AH324:AH332 AJ324:AJ332">
    <cfRule type="cellIs" priority="58" dxfId="14" operator="lessThan" stopIfTrue="1">
      <formula>0</formula>
    </cfRule>
  </conditionalFormatting>
  <conditionalFormatting sqref="AB322:AM323 AB334:AM335 AB324:AD333 AL324:AM333 AF324:AF333 AH324:AJ333">
    <cfRule type="cellIs" priority="57" dxfId="14" operator="lessThan" stopIfTrue="1">
      <formula>0</formula>
    </cfRule>
  </conditionalFormatting>
  <conditionalFormatting sqref="AI324:AI332">
    <cfRule type="cellIs" priority="52" dxfId="14" operator="lessThan" stopIfTrue="1">
      <formula>0</formula>
    </cfRule>
  </conditionalFormatting>
  <conditionalFormatting sqref="AI324:AI333">
    <cfRule type="cellIs" priority="51" dxfId="14" operator="lessThan" stopIfTrue="1">
      <formula>0</formula>
    </cfRule>
  </conditionalFormatting>
  <conditionalFormatting sqref="AI324:AI332">
    <cfRule type="cellIs" priority="46" dxfId="14" operator="lessThan" stopIfTrue="1">
      <formula>0</formula>
    </cfRule>
  </conditionalFormatting>
  <conditionalFormatting sqref="AM326:AM333">
    <cfRule type="cellIs" priority="44" dxfId="14" operator="lessThan" stopIfTrue="1">
      <formula>0</formula>
    </cfRule>
  </conditionalFormatting>
  <conditionalFormatting sqref="AM326:AM333">
    <cfRule type="cellIs" priority="43" dxfId="14" operator="lessThan" stopIfTrue="1">
      <formula>0</formula>
    </cfRule>
  </conditionalFormatting>
  <conditionalFormatting sqref="AM326:AM333">
    <cfRule type="cellIs" priority="42" dxfId="14" operator="lessThan" stopIfTrue="1">
      <formula>0</formula>
    </cfRule>
  </conditionalFormatting>
  <conditionalFormatting sqref="AK324:AK332">
    <cfRule type="cellIs" priority="6" dxfId="14" operator="lessThan" stopIfTrue="1">
      <formula>0</formula>
    </cfRule>
  </conditionalFormatting>
  <conditionalFormatting sqref="AK324:AK333">
    <cfRule type="cellIs" priority="5" dxfId="14" operator="lessThan" stopIfTrue="1">
      <formula>0</formula>
    </cfRule>
  </conditionalFormatting>
  <conditionalFormatting sqref="AE324:AE332">
    <cfRule type="cellIs" priority="4" dxfId="14" operator="lessThan" stopIfTrue="1">
      <formula>0</formula>
    </cfRule>
  </conditionalFormatting>
  <conditionalFormatting sqref="AE324:AE333">
    <cfRule type="cellIs" priority="3" dxfId="14" operator="lessThan" stopIfTrue="1">
      <formula>0</formula>
    </cfRule>
  </conditionalFormatting>
  <conditionalFormatting sqref="AG324:AG332">
    <cfRule type="cellIs" priority="2" dxfId="14" operator="lessThan" stopIfTrue="1">
      <formula>0</formula>
    </cfRule>
  </conditionalFormatting>
  <conditionalFormatting sqref="AG324:AG333">
    <cfRule type="cellIs" priority="1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  <ignoredErrors>
    <ignoredError sqref="AJ3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mineone</cp:lastModifiedBy>
  <cp:lastPrinted>2019-09-16T02:12:25Z</cp:lastPrinted>
  <dcterms:created xsi:type="dcterms:W3CDTF">2018-12-14T02:55:56Z</dcterms:created>
  <dcterms:modified xsi:type="dcterms:W3CDTF">2019-09-17T02:01:47Z</dcterms:modified>
  <cp:category/>
  <cp:version/>
  <cp:contentType/>
  <cp:contentStatus/>
</cp:coreProperties>
</file>